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File-na1-01\userdata3$\NICKV3532\Downloads\"/>
    </mc:Choice>
  </mc:AlternateContent>
  <bookViews>
    <workbookView xWindow="-60" yWindow="-45" windowWidth="15480" windowHeight="7455" firstSheet="1" activeTab="1"/>
  </bookViews>
  <sheets>
    <sheet name="ToDos" sheetId="9" state="veryHidden" r:id="rId1"/>
    <sheet name="Fragebogen # Questionnaire" sheetId="1" r:id="rId2"/>
    <sheet name="Output" sheetId="5" state="veryHidden" r:id="rId3"/>
    <sheet name="lu" sheetId="3" state="veryHidden" r:id="rId4"/>
    <sheet name="colours" sheetId="2" state="veryHidden" r:id="rId5"/>
  </sheets>
  <definedNames>
    <definedName name="areaSV.Countries">lu!$M$13:$Q$33</definedName>
    <definedName name="areaSV.Greetings">lu!$I$13:$J$16</definedName>
    <definedName name="label.AddtlCompanies.TreadActHint">lu!$B$65</definedName>
    <definedName name="label.AddtlCompanies.TreadActURL">lu!$B$66</definedName>
    <definedName name="label.BusinessActivitiesHint">lu!$B$59</definedName>
    <definedName name="label.BusinessActivitiesHintLine1">lu!$B$60</definedName>
    <definedName name="label.BusinessActivitiesHintLine2">lu!$B$61</definedName>
    <definedName name="label.BusinessActivitiesHintLine3">lu!$B$62</definedName>
    <definedName name="label.City">lu!$B$34</definedName>
    <definedName name="label.CompanyName">lu!$B$31</definedName>
    <definedName name="label.Contact.Firstname">lu!$B$44</definedName>
    <definedName name="label.Contact.Lastname">lu!$B$43</definedName>
    <definedName name="label.ContactCompany">lu!$B$46</definedName>
    <definedName name="label.ContactMail">lu!$B$48</definedName>
    <definedName name="label.ContactPhone">lu!$B$47</definedName>
    <definedName name="label.ContactType">lu!$B$39</definedName>
    <definedName name="label.correspondence_note">lu!$B$36</definedName>
    <definedName name="label.Country">lu!$B$35</definedName>
    <definedName name="label.Headline">lu!$B$16</definedName>
    <definedName name="label.HintRegNoFurtherInterest">lu!$B$15</definedName>
    <definedName name="label.HintThankYou">lu!$B$18</definedName>
    <definedName name="label.OutsideEUsee10">lu!$B$69</definedName>
    <definedName name="label.Salutation">lu!$B$45</definedName>
    <definedName name="label.section1.TypeOfQuote">lu!$B$21</definedName>
    <definedName name="label.section10.Claims">lu!$B$158</definedName>
    <definedName name="label.section10.ClaimsAmount">lu!$B$163</definedName>
    <definedName name="label.section10.ClaimsDate">lu!$B$162</definedName>
    <definedName name="label.section10.ClaimsExplanation">lu!$B$161</definedName>
    <definedName name="label.section10.ClaimsReserves">lu!$B$164</definedName>
    <definedName name="label.section10.NO_ClaimsConfirmation">lu!$B$160</definedName>
    <definedName name="label.section2.InsuredCompany">lu!$B$30</definedName>
    <definedName name="label.section2_1.InsuredCompanyContact">lu!$B$38</definedName>
    <definedName name="label.section2_2.BillingAddress">lu!$B$50</definedName>
    <definedName name="label.section3.BusinessActivities">lu!$B$58</definedName>
    <definedName name="label.section4.AddtionalCompanies">lu!$B$64</definedName>
    <definedName name="label.section4_1.Subsidiaries">lu!$B$70</definedName>
    <definedName name="label.section4_2.Subcontractors">lu!$B$75</definedName>
    <definedName name="label.section5.SanctionEmbargo">lu!$B$84</definedName>
    <definedName name="label.section5.SanctionEmbargo.exports">lu!$B$89</definedName>
    <definedName name="label.section5.SanctionEmbargo.exports_countries">lu!$B$91</definedName>
    <definedName name="label.section5.SanctionEmbargo.exports_HINTcountries">lu!$B$90</definedName>
    <definedName name="label.section5.SanctionEmbargo.insured_contractor">lu!$B$86</definedName>
    <definedName name="label.section5.SanctionEmbargo.insured_site">lu!$B$87</definedName>
    <definedName name="label.section5.SanctionEmbargo.insured_subsidiary">lu!$B$88</definedName>
    <definedName name="label.section6.CoverageStart">lu!$B$93</definedName>
    <definedName name="label.section6.CoverageStart.hint">lu!$B$96</definedName>
    <definedName name="label.section6.CoverageStart.Value">lu!$B$95</definedName>
    <definedName name="label.section7.LimitOfIndemity">lu!$B$98</definedName>
    <definedName name="label.section7.LimitOfIndemity.Hint1">lu!$B$100</definedName>
    <definedName name="label.section7.LimitOfIndemity.Hint2">lu!$B$101</definedName>
    <definedName name="label.section8.NetSalesCover">lu!$B$103</definedName>
    <definedName name="label.section8.NetSalesCover.Hint1">lu!$B$107</definedName>
    <definedName name="label.section8.NetSalesCover.Hint2">lu!$B$108</definedName>
    <definedName name="label.section8.Table.HeadlineAirbus">lu!$B$104</definedName>
    <definedName name="label.section8.Table.HeadlineNonAirbus">lu!$B$105</definedName>
    <definedName name="label.section8.TABLES.Col02.Headline">lu!$B$110</definedName>
    <definedName name="label.section8.TABLES.Col03.Headline">lu!$B$111</definedName>
    <definedName name="label.section8.TABLES.Col04.Headline">lu!$B$112</definedName>
    <definedName name="label.section8.TABLES.Col05.Headline">lu!$B$113</definedName>
    <definedName name="label.section8.TABLES.Col06.Headline">lu!$B$114</definedName>
    <definedName name="label.section8.TABLES.Col07.Headline">lu!$B$115</definedName>
    <definedName name="label.section8.TABLES.Col08.Headline">lu!$B$116</definedName>
    <definedName name="label.section8.TABLES.Col09.Headline">lu!$B$117</definedName>
    <definedName name="label.section8.TABLES.Col10.Headline">lu!$B$118</definedName>
    <definedName name="label.section8.TABLES.Col11.Headline">lu!$B$119</definedName>
    <definedName name="label.section8.TABLES.Line1.Head">lu!$B$121</definedName>
    <definedName name="label.section8.TABLES.Line2.Head">lu!$B$122</definedName>
    <definedName name="label.section8.TABLES.Line3.Head">lu!$B$123</definedName>
    <definedName name="label.section8.TABLES.Line4.Head">lu!$B$124</definedName>
    <definedName name="label.section8.TABLES.Line5.Head">lu!$B$125</definedName>
    <definedName name="label.section8.TABLES.Line6.Head">lu!$B$126</definedName>
    <definedName name="label.section8.TABLES.Line7.Head">lu!$B$127</definedName>
    <definedName name="label.section8.TABLES.Line8.Head">lu!$B$128</definedName>
    <definedName name="label.section8_1.ManufacturingDistribution">lu!$B$130</definedName>
    <definedName name="label.section8_1.ManufacturingDistribution.AIRBUS">lu!$B$133</definedName>
    <definedName name="label.section8_1.ManufacturingDistribution.Col1.Headline">lu!$B$132</definedName>
    <definedName name="label.section8_1.ManufacturingDistribution.Supplier">lu!$B$134</definedName>
    <definedName name="label.section8_2.EngineerconstructionServices">lu!$B$136</definedName>
    <definedName name="label.section8_2.EngineerconstructionServices.AIRBUS">lu!$B$139</definedName>
    <definedName name="label.section8_2.EngineerconstructionServices.Col1.Headline">lu!$B$138</definedName>
    <definedName name="label.section8_2.EngineerconstructionServices.Supplier">lu!$B$140</definedName>
    <definedName name="label.section8_3.LabourLeasing">lu!$B$142</definedName>
    <definedName name="label.section8_3.LabourLeasing.AIRBUS">lu!$B$145</definedName>
    <definedName name="label.section8_3.LabourLeasing.Col1.Headline">lu!$B$144</definedName>
    <definedName name="label.section8_3.LabourLeasing.Supplier">lu!$B$146</definedName>
    <definedName name="label.section9.LocalInsurances">lu!$B$148</definedName>
    <definedName name="label.section9.LocalInsurances.ExistingConfirmations">lu!$B$151</definedName>
    <definedName name="label.section9.LocalInsurances.ExistingGE5M">lu!$B$150</definedName>
    <definedName name="label.section9.LocalInsurances.RequestMoreInfo">lu!$B$152</definedName>
    <definedName name="label.section9_1.LocalInsurances_Companies">lu!$B$154</definedName>
    <definedName name="label.section9_1.LocalInsurances_Companies_ExtTurnOver">lu!$B$156</definedName>
    <definedName name="label.Street_No">lu!$B$32</definedName>
    <definedName name="label.Subsidiaries.AdressInclCountry">lu!$B$72</definedName>
    <definedName name="label.Subsidiaries.BusinessActivities">lu!$B$73</definedName>
    <definedName name="label.Subsidiaries.Companyname">lu!$B$71</definedName>
    <definedName name="label.Subtitle">lu!$B$17</definedName>
    <definedName name="label.TypeOfProduction">lu!$B$77</definedName>
    <definedName name="label.TypeOfProduction.Hint">lu!#REF!</definedName>
    <definedName name="label.TypeOfQuote">lu!$B$22</definedName>
    <definedName name="label.UmsatzGT50">lu!$B$80</definedName>
    <definedName name="label.ZIP">lu!$B$33</definedName>
    <definedName name="lu.DDL.ContactType">lu!$B$40:$B$42</definedName>
    <definedName name="lu.DDL.Countries">lu!$M$13:$M$33</definedName>
    <definedName name="lu.DDL.Greetings">lu!$I$13:$I$16</definedName>
    <definedName name="lu.DDL.Language">lu!$B$8:$B$10</definedName>
    <definedName name="lu.DDL.LimitOfIndemnity">lu!$I$20:$I$28</definedName>
    <definedName name="lu.DDL.TypeOfProduction">lu!$B$78:$B$79</definedName>
    <definedName name="lu.DDL.TypeOfQuote">lu!$B$25:$B$28</definedName>
    <definedName name="lu.DLL.YesNo">lu!$B$12:$B$13</definedName>
    <definedName name="_xlnm.Print_Area" localSheetId="1">'Fragebogen # Questionnaire'!$B$2:$N$277</definedName>
    <definedName name="_xlnm.Print_Titles" localSheetId="1">'Fragebogen # Questionnaire'!$3:$5</definedName>
    <definedName name="val.Sect1.SelectedTypeOfQuote">'Fragebogen # Questionnaire'!$K$13</definedName>
    <definedName name="val.Sect10.confirmedClaims.YESNO">'Fragebogen # Questionnaire'!$M$259</definedName>
    <definedName name="val.Sect2.insured.company.City">'Fragebogen # Questionnaire'!$H$21</definedName>
    <definedName name="val.Sect2.insured.company.country">'Fragebogen # Questionnaire'!$E$23</definedName>
    <definedName name="val.Sect2.insured.company.countryOUTPUT">'Fragebogen # Questionnaire'!$E$24</definedName>
    <definedName name="val.Sect2.insured.company.name">'Fragebogen # Questionnaire'!$E$17</definedName>
    <definedName name="val.Sect2.insured.company.street">'Fragebogen # Questionnaire'!$E$19</definedName>
    <definedName name="val.Sect2.insured.company.ZIP">'Fragebogen # Questionnaire'!$E$21</definedName>
    <definedName name="val.Sect2_1.insured.company.ALTname">'Fragebogen # Questionnaire'!$E$29</definedName>
    <definedName name="val.Sect2_1.insured.company.contactgreeting">'Fragebogen # Questionnaire'!$M$27</definedName>
    <definedName name="val.Sect2_1.insured.company.contactmail">'Fragebogen # Questionnaire'!$H$31</definedName>
    <definedName name="val.Sect2_1.insured.company.contactname">'Fragebogen # Questionnaire'!$E$27</definedName>
    <definedName name="val.Sect2_1.insured.company.contactprename">'Fragebogen # Questionnaire'!$H$27</definedName>
    <definedName name="val.Sect2_1.insured.company.contacttelephone">'Fragebogen # Questionnaire'!$E$31</definedName>
    <definedName name="val.Sect2_1.insured.company.contacttype">'Fragebogen # Questionnaire'!$M$29</definedName>
    <definedName name="val.Sect2_2.billed.company.City">'Fragebogen # Questionnaire'!$H$39</definedName>
    <definedName name="val.Sect2_2.billed.company.contactmail">'Fragebogen # Questionnaire'!$H$41</definedName>
    <definedName name="val.Sect2_2.billed.company.country">'Fragebogen # Questionnaire'!$E$41</definedName>
    <definedName name="val.Sect2_2.billed.company.countryOUTPUT">'Fragebogen # Questionnaire'!$E$42</definedName>
    <definedName name="val.Sect2_2.billed.company.name">'Fragebogen # Questionnaire'!$E$35</definedName>
    <definedName name="val.Sect2_2.billed.company.street">'Fragebogen # Questionnaire'!$E$37</definedName>
    <definedName name="val.Sect2_2.billed.company.ZIP">'Fragebogen # Questionnaire'!$E$39</definedName>
    <definedName name="val.Sect3.insured.company.businessactivity.1">'Fragebogen # Questionnaire'!$C$45</definedName>
    <definedName name="val.Sect3.insured.company.businessactivity.2">'Fragebogen # Questionnaire'!$C$46</definedName>
    <definedName name="val.Sect3.insured.company.businessactivity.3">'Fragebogen # Questionnaire'!$C$47</definedName>
    <definedName name="val.Sect3.insured.company.businessactivity.4">'Fragebogen # Questionnaire'!$C$48</definedName>
    <definedName name="val.Sect3.insured.company.businessactivity.5">'Fragebogen # Questionnaire'!$C$49</definedName>
    <definedName name="val.Sect3.insured.company.businessactivity.6">'Fragebogen # Questionnaire'!$C$50</definedName>
    <definedName name="val.Sect4_1.subsidiaries.YESNO">'Fragebogen # Questionnaire'!$M$60</definedName>
    <definedName name="val.Sect4_1.subsidiary1.address">'Fragebogen # Questionnaire'!$E$65</definedName>
    <definedName name="val.Sect4_1.subsidiary1.businessactivity">'Fragebogen # Questionnaire'!$K$65</definedName>
    <definedName name="val.Sect4_1.subsidiary1.companyname">'Fragebogen # Questionnaire'!$C$65</definedName>
    <definedName name="val.Sect4_1.subsidiary10.address">'Fragebogen # Questionnaire'!$E$83</definedName>
    <definedName name="val.Sect4_1.subsidiary10.businessactivity">'Fragebogen # Questionnaire'!$K$83</definedName>
    <definedName name="val.Sect4_1.subsidiary10.companyname">'Fragebogen # Questionnaire'!$C$83</definedName>
    <definedName name="val.Sect4_1.subsidiary2.address">'Fragebogen # Questionnaire'!$E$67</definedName>
    <definedName name="val.Sect4_1.subsidiary2.businessactivity">'Fragebogen # Questionnaire'!$K$67</definedName>
    <definedName name="val.Sect4_1.subsidiary2.companyname">'Fragebogen # Questionnaire'!$C$67</definedName>
    <definedName name="val.Sect4_1.subsidiary3.address">'Fragebogen # Questionnaire'!$E$69</definedName>
    <definedName name="val.Sect4_1.subsidiary3.businessactivity">'Fragebogen # Questionnaire'!$K$69</definedName>
    <definedName name="val.Sect4_1.subsidiary3.companyname">'Fragebogen # Questionnaire'!$C$69</definedName>
    <definedName name="val.Sect4_1.subsidiary4.address">'Fragebogen # Questionnaire'!$E$71</definedName>
    <definedName name="val.Sect4_1.subsidiary4.businessactivity">'Fragebogen # Questionnaire'!$K$71</definedName>
    <definedName name="val.Sect4_1.subsidiary4.companyname">'Fragebogen # Questionnaire'!$C$71</definedName>
    <definedName name="val.Sect4_1.subsidiary5.address">'Fragebogen # Questionnaire'!$E$73</definedName>
    <definedName name="val.Sect4_1.subsidiary5.businessactivity">'Fragebogen # Questionnaire'!$K$73</definedName>
    <definedName name="val.Sect4_1.subsidiary5.companyname">'Fragebogen # Questionnaire'!$C$73</definedName>
    <definedName name="val.Sect4_1.subsidiary6.address">'Fragebogen # Questionnaire'!$E$75</definedName>
    <definedName name="val.Sect4_1.subsidiary6.businessactivity">'Fragebogen # Questionnaire'!$K$75</definedName>
    <definedName name="val.Sect4_1.subsidiary6.companyname">'Fragebogen # Questionnaire'!$C$75</definedName>
    <definedName name="val.Sect4_1.subsidiary7.address">'Fragebogen # Questionnaire'!$E$77</definedName>
    <definedName name="val.Sect4_1.subsidiary7.businessactivity">'Fragebogen # Questionnaire'!$K$77</definedName>
    <definedName name="val.Sect4_1.subsidiary7.companyname">'Fragebogen # Questionnaire'!$C$77</definedName>
    <definedName name="val.Sect4_1.subsidiary8.address">'Fragebogen # Questionnaire'!$E$79</definedName>
    <definedName name="val.Sect4_1.subsidiary8.businessactivity">'Fragebogen # Questionnaire'!$K$79</definedName>
    <definedName name="val.Sect4_1.subsidiary8.companyname">'Fragebogen # Questionnaire'!$C$79</definedName>
    <definedName name="val.Sect4_1.subsidiary9.address">'Fragebogen # Questionnaire'!$E$81</definedName>
    <definedName name="val.Sect4_1.subsidiary9.businessactivity">'Fragebogen # Questionnaire'!$K$81</definedName>
    <definedName name="val.Sect4_1.subsidiary9.companyname">'Fragebogen # Questionnaire'!$C$81</definedName>
    <definedName name="val.Sect4_2.external.YESNO">'Fragebogen # Questionnaire'!$M$85</definedName>
    <definedName name="val.Sect4_2.external1.address">'Fragebogen # Questionnaire'!$E$89</definedName>
    <definedName name="val.Sect4_2.external1.companyname">'Fragebogen # Questionnaire'!$C$89</definedName>
    <definedName name="val.Sect4_2.external1.ContractOwn">'Fragebogen # Questionnaire'!$K$89</definedName>
    <definedName name="val.Sect4_2.external1.Revenue50plus">'Fragebogen # Questionnaire'!$M$89</definedName>
    <definedName name="val.Sect4_2.external2.address">'Fragebogen # Questionnaire'!$E$91</definedName>
    <definedName name="val.Sect4_2.external2.companyname">'Fragebogen # Questionnaire'!$C$91</definedName>
    <definedName name="val.Sect4_2.external2.ContractOwn">'Fragebogen # Questionnaire'!$K$91</definedName>
    <definedName name="val.Sect4_2.external2.Revenue50plus">'Fragebogen # Questionnaire'!$M$91</definedName>
    <definedName name="val.Sect4_2.external3.address">'Fragebogen # Questionnaire'!$E$93</definedName>
    <definedName name="val.Sect4_2.external3.companyname">'Fragebogen # Questionnaire'!$C$93</definedName>
    <definedName name="val.Sect4_2.external3.ContractOwn">'Fragebogen # Questionnaire'!$K$93</definedName>
    <definedName name="val.Sect4_2.external3.Revenue50plus">'Fragebogen # Questionnaire'!$M$93</definedName>
    <definedName name="val.Sect4_2.external4.address">'Fragebogen # Questionnaire'!$E$95</definedName>
    <definedName name="val.Sect4_2.external4.companyname">'Fragebogen # Questionnaire'!$C$95</definedName>
    <definedName name="val.Sect4_2.external4.ContractOwn">'Fragebogen # Questionnaire'!$K$95</definedName>
    <definedName name="val.Sect4_2.external4.Revenue50plus">'Fragebogen # Questionnaire'!$M$95</definedName>
    <definedName name="val.Sect4_2.external5.address">'Fragebogen # Questionnaire'!$E$97</definedName>
    <definedName name="val.Sect4_2.external5.companyname">'Fragebogen # Questionnaire'!$C$97</definedName>
    <definedName name="val.Sect4_2.external5.ContractOwn">'Fragebogen # Questionnaire'!$K$97</definedName>
    <definedName name="val.Sect4_2.external5.Revenue50plus">'Fragebogen # Questionnaire'!$M$97</definedName>
    <definedName name="val.Sect4_2.external6.address">'Fragebogen # Questionnaire'!$E$99</definedName>
    <definedName name="val.Sect4_2.external6.companyname">'Fragebogen # Questionnaire'!$C$99</definedName>
    <definedName name="val.Sect4_2.external6.ContractOwn">'Fragebogen # Questionnaire'!$K$99</definedName>
    <definedName name="val.Sect4_2.external6.Revenue50plus">'Fragebogen # Questionnaire'!$M$99</definedName>
    <definedName name="val.Sect5.CtyListOfExportsToSanctionedCty">'Fragebogen # Questionnaire'!$F$123</definedName>
    <definedName name="val.Sect5.ExportsToSanctionedCty.YESNO">'Fragebogen # Questionnaire'!$M$120</definedName>
    <definedName name="val.Sect5.RelatedToSanctionedCty.YESNO">'Fragebogen # Questionnaire'!$M$117</definedName>
    <definedName name="val.Sect5.RiskInSanctionedCty.YESNO">'Fragebogen # Questionnaire'!$M$113</definedName>
    <definedName name="val.Sect5.SeatInSanctionedCty.YESNO">'Fragebogen # Questionnaire'!$M$110</definedName>
    <definedName name="val.Sect6.StartOfInsurance">'Fragebogen # Questionnaire'!$F$128</definedName>
    <definedName name="val.Sect7.LimitOfIndemnity">'Fragebogen # Questionnaire'!$K$132</definedName>
    <definedName name="val.Sect8_1.Aeronautics_civil.Prod.AIRBUS.ROW">'Fragebogen # Questionnaire'!$E$154</definedName>
    <definedName name="val.Sect8_1.Aeronautics_civil.Prod.AIRBUS.USCA">'Fragebogen # Questionnaire'!$F$154</definedName>
    <definedName name="val.Sect8_1.Aeronautics_civil.Prod.nonAIRBUS.ROW">'Fragebogen # Questionnaire'!$H$154</definedName>
    <definedName name="val.Sect8_1.Aeronautics_civil.Prod.nonAIRBUS.USCA">'Fragebogen # Questionnaire'!$I$154</definedName>
    <definedName name="val.Sect8_1.Aeronautics_military.Prod.AIRBUS.ROW">'Fragebogen # Questionnaire'!$E$155</definedName>
    <definedName name="val.Sect8_1.Aeronautics_military.Prod.AIRBUS.USCA">'Fragebogen # Questionnaire'!$F$155</definedName>
    <definedName name="val.Sect8_1.Aeronautics_military.Prod.nonAIRBUS.ROW">'Fragebogen # Questionnaire'!$H$155</definedName>
    <definedName name="val.Sect8_1.Aeronautics_military.Prod.nonAIRBUS.USCA">'Fragebogen # Questionnaire'!$I$155</definedName>
    <definedName name="val.Sect8_1.Aircraft_civil.Prod.AIRBUS.ROW">'Fragebogen # Questionnaire'!$E$150</definedName>
    <definedName name="val.Sect8_1.Aircraft_civil.Prod.AIRBUS.USCA">'Fragebogen # Questionnaire'!$F$150</definedName>
    <definedName name="val.Sect8_1.Aircraft_civil.Prod.nonAIRBUS.ROW">'Fragebogen # Questionnaire'!$H$150</definedName>
    <definedName name="val.Sect8_1.Aircraft_civil.Prod.nonAIRBUS.USCA">'Fragebogen # Questionnaire'!$I$150</definedName>
    <definedName name="val.Sect8_1.Aircraft_military.Prod.AIRBUS.ROW">'Fragebogen # Questionnaire'!$E$151</definedName>
    <definedName name="val.Sect8_1.Aircraft_military.Prod.AIRBUS.USCA">'Fragebogen # Questionnaire'!$F$151</definedName>
    <definedName name="val.Sect8_1.Aircraft_military.Prod.nonAIRBUS.ROW">'Fragebogen # Questionnaire'!$H$151</definedName>
    <definedName name="val.Sect8_1.Aircraft_military.Prod.nonAIRBUS.USCA">'Fragebogen # Questionnaire'!$I$151</definedName>
    <definedName name="val.Sect8_1.Helicopter_civil.Prod.AIRBUS.ROW">'Fragebogen # Questionnaire'!$E$152</definedName>
    <definedName name="val.Sect8_1.Helicopter_civil.Prod.AIRBUS.USCA">'Fragebogen # Questionnaire'!$F$152</definedName>
    <definedName name="val.Sect8_1.Helicopter_civil.Prod.nonAIRBUS.ROW">'Fragebogen # Questionnaire'!$H$152</definedName>
    <definedName name="val.Sect8_1.Helicopter_civil.Prod.nonAIRBUS.USCA">'Fragebogen # Questionnaire'!$I$152</definedName>
    <definedName name="val.Sect8_1.Helicopter_military.Prod.AIRBUS.ROW">'Fragebogen # Questionnaire'!$E$153</definedName>
    <definedName name="val.Sect8_1.Helicopter_military.Prod.AIRBUS.USCA">'Fragebogen # Questionnaire'!$F$153</definedName>
    <definedName name="val.Sect8_1.Helicopter_military.Prod.nonAIRBUS.ROW">'Fragebogen # Questionnaire'!$H$153</definedName>
    <definedName name="val.Sect8_1.Helicopter_military.Prod.nonAIRBUS.USCA">'Fragebogen # Questionnaire'!$I$153</definedName>
    <definedName name="val.Sect8_1.Space.Prod.AIRBUS.ROW">'Fragebogen # Questionnaire'!$E$156</definedName>
    <definedName name="val.Sect8_1.Space.Prod.AIRBUS.USCA">'Fragebogen # Questionnaire'!$F$156</definedName>
    <definedName name="val.Sect8_1.Space.Prod.nonAIRBUS.ROW">'Fragebogen # Questionnaire'!$H$156</definedName>
    <definedName name="val.Sect8_1.Space.Prod.nonAIRBUS.USCA">'Fragebogen # Questionnaire'!$I$156</definedName>
    <definedName name="val.Sect8_2.Aeronautics_civil.Svcs.AIRBUS.ROW">'Fragebogen # Questionnaire'!$E$185</definedName>
    <definedName name="val.Sect8_2.Aeronautics_civil.Svcs.AIRBUS.USCA">'Fragebogen # Questionnaire'!$F$185</definedName>
    <definedName name="val.Sect8_2.Aeronautics_civil.Svcs.nonAIRBUS.ROW">'Fragebogen # Questionnaire'!$H$185</definedName>
    <definedName name="val.Sect8_2.Aeronautics_civil.Svcs.nonAIRBUS.USCA">'Fragebogen # Questionnaire'!$I$185</definedName>
    <definedName name="val.Sect8_2.Aeronautics_military.Svcs.AIRBUS.ROW">'Fragebogen # Questionnaire'!$E$186</definedName>
    <definedName name="val.Sect8_2.Aeronautics_military.Svcs.AIRBUS.USCA">'Fragebogen # Questionnaire'!$F$186</definedName>
    <definedName name="val.Sect8_2.Aeronautics_military.Svcs.nonAIRBUS.ROW">'Fragebogen # Questionnaire'!$H$186</definedName>
    <definedName name="val.Sect8_2.Aeronautics_military.Svcs.nonAIRBUS.USCA">'Fragebogen # Questionnaire'!$I$186</definedName>
    <definedName name="val.Sect8_2.Aircraft_civil.Svcs.AIRBUS.ROW">'Fragebogen # Questionnaire'!$E$181</definedName>
    <definedName name="val.Sect8_2.Aircraft_civil.Svcs.AIRBUS.USCA">'Fragebogen # Questionnaire'!$F$181</definedName>
    <definedName name="val.Sect8_2.Aircraft_civil.Svcs.nonAIRBUS.ROW">'Fragebogen # Questionnaire'!$H$181</definedName>
    <definedName name="val.Sect8_2.Aircraft_civil.Svcs.nonAIRBUS.USCA">'Fragebogen # Questionnaire'!$I$181</definedName>
    <definedName name="val.Sect8_2.Aircraft_military.Svcs.AIRBUS.ROW">'Fragebogen # Questionnaire'!$E$182</definedName>
    <definedName name="val.Sect8_2.Aircraft_military.Svcs.AIRBUS.USCA">'Fragebogen # Questionnaire'!$F$182</definedName>
    <definedName name="val.Sect8_2.Aircraft_military.Svcs.nonAIRBUS.ROW">'Fragebogen # Questionnaire'!$H$182</definedName>
    <definedName name="val.Sect8_2.Aircraft_military.Svcs.nonAIRBUS.USCA">'Fragebogen # Questionnaire'!$I$182</definedName>
    <definedName name="val.Sect8_2.Helicopter_civil.Svcs.AIRBUS.ROW">'Fragebogen # Questionnaire'!$E$183</definedName>
    <definedName name="val.Sect8_2.Helicopter_civil.Svcs.AIRBUS.USCA">'Fragebogen # Questionnaire'!$F$183</definedName>
    <definedName name="val.Sect8_2.Helicopter_civil.Svcs.nonAIRBUS.ROW">'Fragebogen # Questionnaire'!$H$183</definedName>
    <definedName name="val.Sect8_2.Helicopter_civil.Svcs.nonAIRBUS.USCA">'Fragebogen # Questionnaire'!$I$183</definedName>
    <definedName name="val.Sect8_2.Helicopter_military.Svcs.AIRBUS.ROW">'Fragebogen # Questionnaire'!$E$184</definedName>
    <definedName name="val.Sect8_2.Helicopter_military.Svcs.AIRBUS.USCA">'Fragebogen # Questionnaire'!$F$184</definedName>
    <definedName name="val.Sect8_2.Helicopter_military.Svcs.nonAIRBUS.ROW">'Fragebogen # Questionnaire'!$H$184</definedName>
    <definedName name="val.Sect8_2.Helicopter_military.Svcs.nonAIRBUS.USCA">'Fragebogen # Questionnaire'!$I$184</definedName>
    <definedName name="val.Sect8_2.Space.Svcs.AIRBUS.ROW">'Fragebogen # Questionnaire'!$E$187</definedName>
    <definedName name="val.Sect8_2.Space.Svcs.AIRBUS.USCA">'Fragebogen # Questionnaire'!$F$187</definedName>
    <definedName name="val.Sect8_2.Space.Svcs.nonAIRBUS.ROW">'Fragebogen # Questionnaire'!$H$187</definedName>
    <definedName name="val.Sect8_2.Space.Svcs.nonAIRBUS.USCA">'Fragebogen # Questionnaire'!$I$187</definedName>
    <definedName name="val.Sect8_3.Aeronautics_civil.Labr.AIRBUS.ROW">'Fragebogen # Questionnaire'!$E$216</definedName>
    <definedName name="val.Sect8_3.Aeronautics_civil.Labr.AIRBUS.USCA">'Fragebogen # Questionnaire'!$F$216</definedName>
    <definedName name="val.Sect8_3.Aeronautics_civil.Labr.nonAIRBUS.ROW">'Fragebogen # Questionnaire'!$H$216</definedName>
    <definedName name="val.Sect8_3.Aeronautics_civil.Labr.nonAIRBUS.USCA">'Fragebogen # Questionnaire'!$I$216</definedName>
    <definedName name="val.Sect8_3.Aeronautics_military.Labr.AIRBUS.ROW">'Fragebogen # Questionnaire'!$E$217</definedName>
    <definedName name="val.Sect8_3.Aeronautics_military.Labr.AIRBUS.USCA">'Fragebogen # Questionnaire'!$F$217</definedName>
    <definedName name="val.Sect8_3.Aeronautics_military.Labr.nonAIRBUS.ROW">'Fragebogen # Questionnaire'!$H$217</definedName>
    <definedName name="val.Sect8_3.Aeronautics_military.Labr.nonAIRBUS.USCA">'Fragebogen # Questionnaire'!$I$217</definedName>
    <definedName name="val.Sect8_3.Aircraft_civil.Labr.AIRBUS.ROW">'Fragebogen # Questionnaire'!$E$212</definedName>
    <definedName name="val.Sect8_3.Aircraft_civil.Labr.AIRBUS.USCA">'Fragebogen # Questionnaire'!$F$212</definedName>
    <definedName name="val.Sect8_3.Aircraft_civil.Labr.nonAIRBUS.ROW">'Fragebogen # Questionnaire'!$H$212</definedName>
    <definedName name="val.Sect8_3.Aircraft_civil.Labr.nonAIRBUS.USCA">'Fragebogen # Questionnaire'!$I$212</definedName>
    <definedName name="val.Sect8_3.Aircraft_military.Labr.AIRBUS.ROW">'Fragebogen # Questionnaire'!$E$213</definedName>
    <definedName name="val.Sect8_3.Aircraft_military.Labr.AIRBUS.USCA">'Fragebogen # Questionnaire'!$F$213</definedName>
    <definedName name="val.Sect8_3.Aircraft_military.Labr.nonAIRBUS.ROW">'Fragebogen # Questionnaire'!$H$213</definedName>
    <definedName name="val.Sect8_3.Aircraft_military.Labr.nonAIRBUS.USCA">'Fragebogen # Questionnaire'!$I$213</definedName>
    <definedName name="val.Sect8_3.Helicopter_civil.Labr.AIRBUS.ROW">'Fragebogen # Questionnaire'!$E$214</definedName>
    <definedName name="val.Sect8_3.Helicopter_civil.Labr.AIRBUS.USCA">'Fragebogen # Questionnaire'!$F$214</definedName>
    <definedName name="val.Sect8_3.Helicopter_civil.Labr.nonAIRBUS.ROW">'Fragebogen # Questionnaire'!$H$214</definedName>
    <definedName name="val.Sect8_3.Helicopter_civil.Labr.nonAIRBUS.USCA">'Fragebogen # Questionnaire'!$I$214</definedName>
    <definedName name="val.Sect8_3.Helicopter_military.Labr.AIRBUS.ROW">'Fragebogen # Questionnaire'!$E$215</definedName>
    <definedName name="val.Sect8_3.Helicopter_military.Labr.AIRBUS.USCA">'Fragebogen # Questionnaire'!$F$215</definedName>
    <definedName name="val.Sect8_3.Helicopter_military.Labr.nonAIRBUS.ROW">'Fragebogen # Questionnaire'!$H$215</definedName>
    <definedName name="val.Sect8_3.Helicopter_military.Labr.nonAIRBUS.USCA">'Fragebogen # Questionnaire'!$I$215</definedName>
    <definedName name="val.Sect8_3.Space.Labr.AIRBUS.ROW">'Fragebogen # Questionnaire'!$E$218</definedName>
    <definedName name="val.Sect8_3.Space.Labr.AIRBUS.USCA">'Fragebogen # Questionnaire'!$F$218</definedName>
    <definedName name="val.Sect8_3.Space.Labr.nonAIRBUS.ROW">'Fragebogen # Questionnaire'!$H$218</definedName>
    <definedName name="val.Sect8_3.Space.Labr.nonAIRBUS.USCA">'Fragebogen # Questionnaire'!$I$218</definedName>
    <definedName name="val.Sect9.ExistingLocalPolGT_USD5M.YESNO">'Fragebogen # Questionnaire'!$M$238</definedName>
    <definedName name="val.Sect9.InterestedGettingLocalPol.YESNO">'Fragebogen # Questionnaire'!#REF!</definedName>
    <definedName name="val.Sect9_1.localpolicy1.companyaddress">'Fragebogen # Questionnaire'!$E$244</definedName>
    <definedName name="val.Sect9_1.localpolicy1.companyemail">'Fragebogen # Questionnaire'!$I$244</definedName>
    <definedName name="val.Sect9_1.localpolicy1.companyextturnover">'Fragebogen # Questionnaire'!$M$244</definedName>
    <definedName name="val.Sect9_1.localpolicy1.companyname">'Fragebogen # Questionnaire'!$C$244</definedName>
    <definedName name="val.Sect9_1.localpolicy2.companyaddress">'Fragebogen # Questionnaire'!$E$246</definedName>
    <definedName name="val.Sect9_1.localpolicy2.companyemail">'Fragebogen # Questionnaire'!$I$246</definedName>
    <definedName name="val.Sect9_1.localpolicy2.companyextturnover">'Fragebogen # Questionnaire'!$M$246</definedName>
    <definedName name="val.Sect9_1.localpolicy2.companyname">'Fragebogen # Questionnaire'!$C$246</definedName>
    <definedName name="val.Sect9_1.localpolicy3.companyaddress">'Fragebogen # Questionnaire'!$E$248</definedName>
    <definedName name="val.Sect9_1.localpolicy3.companyemail">'Fragebogen # Questionnaire'!$I$248</definedName>
    <definedName name="val.Sect9_1.localpolicy3.companyextturnover">'Fragebogen # Questionnaire'!$M$248</definedName>
    <definedName name="val.Sect9_1.localpolicy3.companyname">'Fragebogen # Questionnaire'!$C$248</definedName>
    <definedName name="val.Sect9_1.localpolicy4.companyaddress">'Fragebogen # Questionnaire'!$E$250</definedName>
    <definedName name="val.Sect9_1.localpolicy4.companyemail">'Fragebogen # Questionnaire'!$I$250</definedName>
    <definedName name="val.Sect9_1.localpolicy4.companyextturnover">'Fragebogen # Questionnaire'!$M$250</definedName>
    <definedName name="val.Sect9_1.localpolicy4.companyname">'Fragebogen # Questionnaire'!$C$250</definedName>
    <definedName name="val.Sect9_1.localpolicy5.companyaddress">'Fragebogen # Questionnaire'!$E$252</definedName>
    <definedName name="val.Sect9_1.localpolicy5.companyemail">'Fragebogen # Questionnaire'!$I$252</definedName>
    <definedName name="val.Sect9_1.localpolicy5.companyextturnover">'Fragebogen # Questionnaire'!$M$252</definedName>
    <definedName name="val.Sect9_1.localpolicy5.companyname">'Fragebogen # Questionnaire'!$C$252</definedName>
    <definedName name="val.Sect9_1.localpolicy6.companyaddress">'Fragebogen # Questionnaire'!$E$254</definedName>
    <definedName name="val.Sect9_1.localpolicy6.companyemail">'Fragebogen # Questionnaire'!$I$254</definedName>
    <definedName name="val.Sect9_1.localpolicy6.companyextturnover">'Fragebogen # Questionnaire'!$M$254</definedName>
    <definedName name="val.Sect9_1.localpolicy6.companyname">'Fragebogen # Questionnaire'!$C$254</definedName>
    <definedName name="val.SelectedLanguage">'Fragebogen # Questionnaire'!$M$9</definedName>
    <definedName name="values.QUESTIONNAIRE">Output!$E$5:$GX$6</definedName>
    <definedName name="Zeitraum__Planumsätze_Luftfahrtindustrie_für_die_kommende_Versicherungsperiode_15.10._bis_15.10._eines_jeden_Jahres">lu!$B$105</definedName>
  </definedNames>
  <calcPr calcId="152511" iterate="1" iterateCount="1"/>
</workbook>
</file>

<file path=xl/calcChain.xml><?xml version="1.0" encoding="utf-8"?>
<calcChain xmlns="http://schemas.openxmlformats.org/spreadsheetml/2006/main">
  <c r="B104" i="3" l="1"/>
  <c r="B113" i="3" s="1"/>
  <c r="B105" i="3"/>
  <c r="B117" i="3" s="1"/>
  <c r="H178" i="1" l="1"/>
  <c r="E178" i="1"/>
  <c r="E147" i="1"/>
  <c r="E209" i="1"/>
  <c r="H147" i="1"/>
  <c r="H209" i="1"/>
  <c r="K259" i="1"/>
  <c r="M132" i="1" l="1"/>
  <c r="C205" i="5" l="1"/>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1" i="5"/>
  <c r="C20" i="5"/>
  <c r="C19" i="5"/>
  <c r="C18" i="5"/>
  <c r="C17" i="5"/>
  <c r="C16" i="5"/>
  <c r="C15" i="5"/>
  <c r="C14" i="5"/>
  <c r="C13" i="5"/>
  <c r="C12" i="5"/>
  <c r="C11" i="5"/>
  <c r="C10" i="5"/>
  <c r="C8" i="5"/>
  <c r="C7" i="5"/>
  <c r="C6" i="5"/>
  <c r="C5" i="5"/>
  <c r="GW7" i="5"/>
  <c r="GV7" i="5"/>
  <c r="GU7" i="5"/>
  <c r="GT7" i="5"/>
  <c r="GS7" i="5"/>
  <c r="GR7" i="5"/>
  <c r="GQ7" i="5"/>
  <c r="GP7" i="5"/>
  <c r="GW6" i="5"/>
  <c r="GV6" i="5"/>
  <c r="GU6" i="5"/>
  <c r="GT6" i="5"/>
  <c r="GS6" i="5"/>
  <c r="GR6" i="5"/>
  <c r="GQ6" i="5"/>
  <c r="GP6" i="5"/>
  <c r="GO7" i="5"/>
  <c r="GN7" i="5"/>
  <c r="GM7" i="5"/>
  <c r="GL7" i="5"/>
  <c r="GK7" i="5"/>
  <c r="GJ7" i="5"/>
  <c r="GI7" i="5"/>
  <c r="GH7" i="5"/>
  <c r="GG7" i="5"/>
  <c r="GF7" i="5"/>
  <c r="GE7" i="5"/>
  <c r="GD7" i="5"/>
  <c r="GC7" i="5"/>
  <c r="GB7" i="5"/>
  <c r="GA7" i="5"/>
  <c r="FZ7" i="5"/>
  <c r="GO6" i="5"/>
  <c r="GN6" i="5"/>
  <c r="GM6" i="5"/>
  <c r="GL6" i="5"/>
  <c r="GK6" i="5"/>
  <c r="GJ6" i="5"/>
  <c r="GI6" i="5"/>
  <c r="GH6" i="5"/>
  <c r="GG6" i="5"/>
  <c r="GF6" i="5"/>
  <c r="GE6" i="5"/>
  <c r="GD6" i="5"/>
  <c r="GC6" i="5"/>
  <c r="GB6" i="5"/>
  <c r="GA6" i="5"/>
  <c r="FZ6" i="5"/>
  <c r="B156" i="3"/>
  <c r="M242" i="1" s="1"/>
  <c r="B154" i="3"/>
  <c r="C241" i="1" s="1"/>
  <c r="CQ6" i="5" l="1"/>
  <c r="B89" i="3"/>
  <c r="CK7" i="5"/>
  <c r="CJ7" i="5"/>
  <c r="CI7" i="5"/>
  <c r="CH7" i="5"/>
  <c r="CK6" i="5"/>
  <c r="CJ6" i="5"/>
  <c r="CI6" i="5"/>
  <c r="CH6" i="5"/>
  <c r="CG7" i="5"/>
  <c r="CF7" i="5"/>
  <c r="CE7" i="5"/>
  <c r="CD7" i="5"/>
  <c r="CG6" i="5"/>
  <c r="CF6" i="5"/>
  <c r="CE6" i="5"/>
  <c r="CD6" i="5"/>
  <c r="CC7" i="5"/>
  <c r="CB7" i="5"/>
  <c r="CA7" i="5"/>
  <c r="BZ7" i="5"/>
  <c r="CC6" i="5"/>
  <c r="CB6" i="5"/>
  <c r="CA6" i="5"/>
  <c r="BZ6" i="5"/>
  <c r="W99" i="1"/>
  <c r="V99" i="1"/>
  <c r="U99" i="1"/>
  <c r="T99" i="1"/>
  <c r="W97" i="1"/>
  <c r="V97" i="1"/>
  <c r="U97" i="1"/>
  <c r="T97" i="1"/>
  <c r="BS7" i="5"/>
  <c r="BQ7" i="5"/>
  <c r="BO7" i="5"/>
  <c r="AF7" i="5"/>
  <c r="AE7" i="5"/>
  <c r="AD7" i="5"/>
  <c r="AG6" i="5"/>
  <c r="AF6" i="5"/>
  <c r="AE6" i="5"/>
  <c r="AD6" i="5"/>
  <c r="AA7" i="5"/>
  <c r="AA6" i="5"/>
  <c r="Z7" i="5"/>
  <c r="Z6" i="5"/>
  <c r="M69" i="3" l="1"/>
  <c r="B69" i="3"/>
  <c r="C62" i="1" s="1"/>
  <c r="B70" i="3"/>
  <c r="C60" i="1" s="1"/>
  <c r="T49" i="1"/>
  <c r="T48" i="1"/>
  <c r="T47" i="1"/>
  <c r="C7" i="9" l="1"/>
  <c r="C8" i="9" s="1"/>
  <c r="C9" i="9" s="1"/>
  <c r="C10" i="9" s="1"/>
  <c r="C11" i="9" l="1"/>
  <c r="C12" i="9" s="1"/>
  <c r="C13" i="9" s="1"/>
  <c r="C14" i="9" s="1"/>
  <c r="C15" i="9" s="1"/>
  <c r="C16" i="9" s="1"/>
  <c r="C17" i="9" s="1"/>
  <c r="C18" i="9" s="1"/>
  <c r="C19" i="9" s="1"/>
  <c r="C20" i="9" s="1"/>
  <c r="C21" i="9" s="1"/>
  <c r="C22" i="9" s="1"/>
  <c r="C23" i="9" s="1"/>
  <c r="C24" i="9" s="1"/>
  <c r="C25" i="9" s="1"/>
  <c r="C26" i="9" s="1"/>
  <c r="V83" i="1" l="1"/>
  <c r="U83" i="1"/>
  <c r="T83" i="1"/>
  <c r="V81" i="1"/>
  <c r="U81" i="1"/>
  <c r="T81" i="1"/>
  <c r="V79" i="1"/>
  <c r="U79" i="1"/>
  <c r="T79" i="1"/>
  <c r="V77" i="1"/>
  <c r="U77" i="1"/>
  <c r="T77" i="1"/>
  <c r="V75" i="1"/>
  <c r="U75" i="1"/>
  <c r="T75" i="1"/>
  <c r="V73" i="1"/>
  <c r="U73" i="1"/>
  <c r="T73" i="1"/>
  <c r="BL7" i="5"/>
  <c r="BK7" i="5"/>
  <c r="BJ7" i="5"/>
  <c r="BL6" i="5"/>
  <c r="BK6" i="5"/>
  <c r="BJ6" i="5"/>
  <c r="BI7" i="5"/>
  <c r="BH7" i="5"/>
  <c r="BG7" i="5"/>
  <c r="BI6" i="5"/>
  <c r="BH6" i="5"/>
  <c r="BG6" i="5"/>
  <c r="BF7" i="5"/>
  <c r="BE7" i="5"/>
  <c r="BD7" i="5"/>
  <c r="BF6" i="5"/>
  <c r="BE6" i="5"/>
  <c r="BD6" i="5"/>
  <c r="BC7" i="5"/>
  <c r="AZ7" i="5"/>
  <c r="AW7" i="5"/>
  <c r="AT7" i="5"/>
  <c r="AQ7" i="5"/>
  <c r="AN7" i="5"/>
  <c r="BB7" i="5"/>
  <c r="BA7" i="5"/>
  <c r="BC6" i="5"/>
  <c r="BB6" i="5"/>
  <c r="BA6" i="5"/>
  <c r="AY7" i="5"/>
  <c r="AX7" i="5"/>
  <c r="AZ6" i="5"/>
  <c r="AY6" i="5"/>
  <c r="AX6" i="5"/>
  <c r="AV7" i="5"/>
  <c r="AU7" i="5"/>
  <c r="AW6" i="5"/>
  <c r="AV6" i="5"/>
  <c r="AU6" i="5"/>
  <c r="B164" i="3" l="1"/>
  <c r="B163" i="3"/>
  <c r="B162" i="3"/>
  <c r="B161" i="3"/>
  <c r="B160" i="3"/>
  <c r="B158" i="3"/>
  <c r="B152" i="3"/>
  <c r="B151" i="3"/>
  <c r="C239" i="1" s="1"/>
  <c r="B150" i="3"/>
  <c r="B148" i="3"/>
  <c r="B146" i="3"/>
  <c r="B145" i="3"/>
  <c r="B144" i="3"/>
  <c r="B142" i="3"/>
  <c r="B140" i="3"/>
  <c r="B139" i="3"/>
  <c r="B138" i="3"/>
  <c r="B136" i="3"/>
  <c r="B134" i="3"/>
  <c r="B133" i="3"/>
  <c r="B132" i="3"/>
  <c r="B130" i="3"/>
  <c r="B128" i="3"/>
  <c r="B127" i="3"/>
  <c r="B126" i="3"/>
  <c r="B125" i="3"/>
  <c r="B124" i="3"/>
  <c r="B123" i="3"/>
  <c r="B122" i="3"/>
  <c r="B121" i="3"/>
  <c r="B119" i="3"/>
  <c r="B118" i="3"/>
  <c r="B116" i="3"/>
  <c r="B115" i="3"/>
  <c r="B114" i="3"/>
  <c r="B112" i="3"/>
  <c r="B111" i="3"/>
  <c r="B110" i="3"/>
  <c r="B108" i="3"/>
  <c r="B107" i="3"/>
  <c r="B103" i="3"/>
  <c r="B101" i="3"/>
  <c r="B100" i="3"/>
  <c r="B98" i="3"/>
  <c r="B96" i="3"/>
  <c r="B95" i="3"/>
  <c r="B93" i="3"/>
  <c r="B91" i="3"/>
  <c r="C123" i="1" s="1"/>
  <c r="B90" i="3"/>
  <c r="K123" i="1" s="1"/>
  <c r="B88" i="3"/>
  <c r="C117" i="1" s="1"/>
  <c r="B87" i="3"/>
  <c r="C113" i="1" s="1"/>
  <c r="B86" i="3"/>
  <c r="C110" i="1" s="1"/>
  <c r="B84" i="3"/>
  <c r="B82" i="3"/>
  <c r="B80" i="3"/>
  <c r="B79" i="3"/>
  <c r="B78" i="3"/>
  <c r="B77" i="3"/>
  <c r="B75" i="3"/>
  <c r="B73" i="3"/>
  <c r="B72" i="3"/>
  <c r="E242" i="1" s="1"/>
  <c r="B71" i="3"/>
  <c r="C242" i="1" s="1"/>
  <c r="B66" i="3"/>
  <c r="B65" i="3"/>
  <c r="B64" i="3"/>
  <c r="B62" i="3"/>
  <c r="B61" i="3"/>
  <c r="B60" i="3"/>
  <c r="B59" i="3"/>
  <c r="B58" i="3"/>
  <c r="B56" i="3"/>
  <c r="B55" i="3"/>
  <c r="B54" i="3"/>
  <c r="B53" i="3"/>
  <c r="B52" i="3"/>
  <c r="B51" i="3"/>
  <c r="B50" i="3"/>
  <c r="B48" i="3"/>
  <c r="B47" i="3"/>
  <c r="B46" i="3"/>
  <c r="B45" i="3"/>
  <c r="B44" i="3"/>
  <c r="B43" i="3"/>
  <c r="B42" i="3"/>
  <c r="B41" i="3"/>
  <c r="B40" i="3"/>
  <c r="B39" i="3"/>
  <c r="B38" i="3"/>
  <c r="B36" i="3"/>
  <c r="B35" i="3"/>
  <c r="B34" i="3"/>
  <c r="B33" i="3"/>
  <c r="B32" i="3"/>
  <c r="B31" i="3"/>
  <c r="B30" i="3"/>
  <c r="B28" i="3"/>
  <c r="B27" i="3"/>
  <c r="B26" i="3"/>
  <c r="B25" i="3"/>
  <c r="B22" i="3"/>
  <c r="B21" i="3"/>
  <c r="B18" i="3"/>
  <c r="B17" i="3"/>
  <c r="B16" i="3"/>
  <c r="B15" i="3"/>
  <c r="B12" i="3"/>
  <c r="B13" i="3"/>
  <c r="G41" i="1" l="1"/>
  <c r="I242" i="1"/>
  <c r="C120" i="1"/>
  <c r="V6" i="5"/>
  <c r="AK7" i="5"/>
  <c r="BW7" i="5"/>
  <c r="GX6" i="5"/>
  <c r="FY6" i="5"/>
  <c r="FX6" i="5"/>
  <c r="FW6" i="5"/>
  <c r="FV6" i="5"/>
  <c r="FU6" i="5"/>
  <c r="FT6" i="5"/>
  <c r="FS6" i="5"/>
  <c r="FR6" i="5"/>
  <c r="FQ6" i="5"/>
  <c r="FP6" i="5"/>
  <c r="FO6" i="5"/>
  <c r="FN6" i="5"/>
  <c r="FM6" i="5"/>
  <c r="FL6" i="5"/>
  <c r="FK6"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AG7" i="5"/>
  <c r="AC7" i="5"/>
  <c r="AB7" i="5"/>
  <c r="GX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BY7" i="5"/>
  <c r="BX7" i="5"/>
  <c r="BV7" i="5"/>
  <c r="BU7" i="5"/>
  <c r="BT7" i="5"/>
  <c r="BR7" i="5"/>
  <c r="BP7" i="5"/>
  <c r="BN7" i="5"/>
  <c r="BM7" i="5"/>
  <c r="AS7" i="5"/>
  <c r="AR7" i="5"/>
  <c r="AP7" i="5"/>
  <c r="AO7" i="5"/>
  <c r="AM7" i="5"/>
  <c r="AL7" i="5"/>
  <c r="AJ7" i="5"/>
  <c r="AI7" i="5"/>
  <c r="AH7" i="5"/>
  <c r="Y7" i="5"/>
  <c r="X7" i="5"/>
  <c r="U7" i="5"/>
  <c r="T7" i="5"/>
  <c r="S7" i="5"/>
  <c r="R7" i="5"/>
  <c r="Q7" i="5"/>
  <c r="P7" i="5"/>
  <c r="O7" i="5"/>
  <c r="N7" i="5"/>
  <c r="M7" i="5"/>
  <c r="L7" i="5"/>
  <c r="K7" i="5"/>
  <c r="I7" i="5"/>
  <c r="H7" i="5"/>
  <c r="G7" i="5"/>
  <c r="F7" i="5"/>
  <c r="CL6" i="5"/>
  <c r="CR6" i="5"/>
  <c r="CP6" i="5"/>
  <c r="CO6" i="5"/>
  <c r="CN6" i="5"/>
  <c r="CM6" i="5"/>
  <c r="BY6" i="5"/>
  <c r="BX6" i="5"/>
  <c r="BW6" i="5"/>
  <c r="BV6" i="5"/>
  <c r="BU6" i="5"/>
  <c r="BT6" i="5"/>
  <c r="BS6" i="5"/>
  <c r="BR6" i="5"/>
  <c r="BQ6" i="5"/>
  <c r="BP6" i="5"/>
  <c r="BO6" i="5"/>
  <c r="BN6" i="5"/>
  <c r="BM6" i="5"/>
  <c r="AT6" i="5"/>
  <c r="AS6" i="5"/>
  <c r="AR6" i="5"/>
  <c r="AQ6" i="5"/>
  <c r="AP6" i="5"/>
  <c r="AO6" i="5"/>
  <c r="AN6" i="5"/>
  <c r="AM6" i="5"/>
  <c r="AL6" i="5"/>
  <c r="AK6" i="5"/>
  <c r="AJ6" i="5"/>
  <c r="AI6" i="5"/>
  <c r="AH6" i="5"/>
  <c r="AC6" i="5"/>
  <c r="AB6" i="5"/>
  <c r="Y6" i="5"/>
  <c r="X6" i="5"/>
  <c r="U6" i="5"/>
  <c r="T6" i="5"/>
  <c r="S6" i="5"/>
  <c r="R6" i="5"/>
  <c r="Q6" i="5"/>
  <c r="P6" i="5"/>
  <c r="O6" i="5"/>
  <c r="N6" i="5"/>
  <c r="M6" i="5"/>
  <c r="L6" i="5"/>
  <c r="K6" i="5"/>
  <c r="I6" i="5"/>
  <c r="H6" i="5"/>
  <c r="G6" i="5"/>
  <c r="F6" i="5"/>
  <c r="G150" i="1"/>
  <c r="G151" i="1"/>
  <c r="G152" i="1"/>
  <c r="G153" i="1"/>
  <c r="G154" i="1"/>
  <c r="G155" i="1"/>
  <c r="G156" i="1"/>
  <c r="M33" i="3"/>
  <c r="M32" i="3"/>
  <c r="I13" i="1"/>
  <c r="C4" i="1"/>
  <c r="C3" i="1"/>
  <c r="T259" i="1"/>
  <c r="T238" i="1"/>
  <c r="T132" i="1"/>
  <c r="T128" i="1"/>
  <c r="T123" i="1"/>
  <c r="T120" i="1"/>
  <c r="T117" i="1"/>
  <c r="T113" i="1"/>
  <c r="T110" i="1"/>
  <c r="T85" i="1"/>
  <c r="W95" i="1"/>
  <c r="V95" i="1"/>
  <c r="U95" i="1"/>
  <c r="T95" i="1"/>
  <c r="W93" i="1"/>
  <c r="V93" i="1"/>
  <c r="U93" i="1"/>
  <c r="T93" i="1"/>
  <c r="W91" i="1"/>
  <c r="V91" i="1"/>
  <c r="U91" i="1"/>
  <c r="T91" i="1"/>
  <c r="W89" i="1"/>
  <c r="V89" i="1"/>
  <c r="U89" i="1"/>
  <c r="T89" i="1"/>
  <c r="V71" i="1"/>
  <c r="U71" i="1"/>
  <c r="T71" i="1"/>
  <c r="V69" i="1"/>
  <c r="U69" i="1"/>
  <c r="T69" i="1"/>
  <c r="V67" i="1"/>
  <c r="U67" i="1"/>
  <c r="T67" i="1"/>
  <c r="V65" i="1"/>
  <c r="U65" i="1"/>
  <c r="T65" i="1"/>
  <c r="T60" i="1"/>
  <c r="T50" i="1"/>
  <c r="T46" i="1"/>
  <c r="T45" i="1"/>
  <c r="U39" i="1"/>
  <c r="T39" i="1"/>
  <c r="T9" i="1"/>
  <c r="G273" i="1"/>
  <c r="C259" i="1"/>
  <c r="I220" i="1"/>
  <c r="H220" i="1"/>
  <c r="F220" i="1"/>
  <c r="E220" i="1"/>
  <c r="K218" i="1"/>
  <c r="G218" i="1"/>
  <c r="K217" i="1"/>
  <c r="G217" i="1"/>
  <c r="K216" i="1"/>
  <c r="G216" i="1"/>
  <c r="K215" i="1"/>
  <c r="G215" i="1"/>
  <c r="K214" i="1"/>
  <c r="G214" i="1"/>
  <c r="K213" i="1"/>
  <c r="G213" i="1"/>
  <c r="K212" i="1"/>
  <c r="G212" i="1"/>
  <c r="I189" i="1"/>
  <c r="H189" i="1"/>
  <c r="F189" i="1"/>
  <c r="E189" i="1"/>
  <c r="K187" i="1"/>
  <c r="G187" i="1"/>
  <c r="K186" i="1"/>
  <c r="G186" i="1"/>
  <c r="K185" i="1"/>
  <c r="G185" i="1"/>
  <c r="K184" i="1"/>
  <c r="G184" i="1"/>
  <c r="K183" i="1"/>
  <c r="G183" i="1"/>
  <c r="K182" i="1"/>
  <c r="G182" i="1"/>
  <c r="K181" i="1"/>
  <c r="G181" i="1"/>
  <c r="H158" i="1"/>
  <c r="E158" i="1"/>
  <c r="F158" i="1"/>
  <c r="K150" i="1"/>
  <c r="M150" i="1" s="1"/>
  <c r="K151" i="1"/>
  <c r="K152" i="1"/>
  <c r="K153" i="1"/>
  <c r="K154" i="1"/>
  <c r="M154" i="1" s="1"/>
  <c r="K155" i="1"/>
  <c r="K156" i="1"/>
  <c r="M262" i="1"/>
  <c r="K262" i="1"/>
  <c r="C262" i="1"/>
  <c r="I262" i="1"/>
  <c r="C256" i="1"/>
  <c r="C238" i="1"/>
  <c r="C236" i="1"/>
  <c r="C229" i="1"/>
  <c r="C222" i="1"/>
  <c r="C210" i="1"/>
  <c r="C205" i="1"/>
  <c r="C179" i="1"/>
  <c r="C198" i="1"/>
  <c r="C191" i="1"/>
  <c r="C174" i="1"/>
  <c r="C167" i="1"/>
  <c r="C160" i="1"/>
  <c r="C158" i="1"/>
  <c r="C220" i="1"/>
  <c r="C187" i="1"/>
  <c r="C155" i="1"/>
  <c r="C216" i="1"/>
  <c r="C215" i="1"/>
  <c r="C214" i="1"/>
  <c r="C213" i="1"/>
  <c r="C150" i="1"/>
  <c r="M179" i="1"/>
  <c r="K210" i="1"/>
  <c r="I148" i="1"/>
  <c r="H179" i="1"/>
  <c r="G210" i="1"/>
  <c r="F148" i="1"/>
  <c r="E179" i="1"/>
  <c r="C148" i="1"/>
  <c r="C143" i="1"/>
  <c r="C141" i="1"/>
  <c r="C139" i="1"/>
  <c r="C137" i="1"/>
  <c r="C275" i="1"/>
  <c r="C134" i="1"/>
  <c r="C132" i="1"/>
  <c r="C130" i="1"/>
  <c r="K64" i="1"/>
  <c r="E64" i="1"/>
  <c r="C64" i="1"/>
  <c r="H128" i="1"/>
  <c r="C128" i="1"/>
  <c r="M87" i="1"/>
  <c r="K87" i="1"/>
  <c r="C126" i="1"/>
  <c r="K120" i="1"/>
  <c r="K117" i="1"/>
  <c r="K113" i="1"/>
  <c r="K110" i="1"/>
  <c r="C108" i="1"/>
  <c r="C85" i="1"/>
  <c r="K60" i="1"/>
  <c r="K85" i="1"/>
  <c r="M58" i="1"/>
  <c r="C58" i="1"/>
  <c r="C56" i="1"/>
  <c r="C52" i="1"/>
  <c r="E54" i="1"/>
  <c r="E53" i="1"/>
  <c r="E52" i="1"/>
  <c r="C43" i="1"/>
  <c r="C33" i="1"/>
  <c r="K29" i="1"/>
  <c r="G31" i="1"/>
  <c r="C31" i="1"/>
  <c r="C27" i="1"/>
  <c r="G27" i="1"/>
  <c r="K27" i="1"/>
  <c r="C29" i="1"/>
  <c r="C23" i="1"/>
  <c r="C39" i="1"/>
  <c r="M13" i="3"/>
  <c r="M14" i="3"/>
  <c r="M15" i="3"/>
  <c r="M16" i="3"/>
  <c r="M17" i="3"/>
  <c r="M18" i="3"/>
  <c r="M19" i="3"/>
  <c r="M20" i="3"/>
  <c r="M21" i="3"/>
  <c r="M22" i="3"/>
  <c r="M23" i="3"/>
  <c r="M24" i="3"/>
  <c r="M25" i="3"/>
  <c r="M26" i="3"/>
  <c r="M27" i="3"/>
  <c r="M28" i="3"/>
  <c r="M29" i="3"/>
  <c r="M30" i="3"/>
  <c r="M31" i="3"/>
  <c r="V27" i="1"/>
  <c r="T21" i="1"/>
  <c r="U27" i="1"/>
  <c r="C25" i="1"/>
  <c r="C15" i="1"/>
  <c r="T13" i="1"/>
  <c r="T37" i="1"/>
  <c r="T35" i="1"/>
  <c r="U31" i="1"/>
  <c r="T31" i="1"/>
  <c r="T29" i="1"/>
  <c r="T27" i="1"/>
  <c r="C11" i="1"/>
  <c r="T23" i="1"/>
  <c r="U21" i="1"/>
  <c r="T19" i="1"/>
  <c r="T17" i="1"/>
  <c r="G21" i="1"/>
  <c r="C19" i="1"/>
  <c r="C17" i="1"/>
  <c r="C13" i="1"/>
  <c r="I158" i="1"/>
  <c r="C189" i="1"/>
  <c r="C181" i="1"/>
  <c r="M156" i="1" l="1"/>
  <c r="M155" i="1"/>
  <c r="M182" i="1"/>
  <c r="M184" i="1"/>
  <c r="M186" i="1"/>
  <c r="M214" i="1"/>
  <c r="M218" i="1"/>
  <c r="E42" i="1"/>
  <c r="C22" i="5" s="1"/>
  <c r="E24" i="1"/>
  <c r="G220" i="1"/>
  <c r="M220" i="1" s="1"/>
  <c r="M212" i="1"/>
  <c r="K189" i="1"/>
  <c r="K158" i="1"/>
  <c r="M183" i="1"/>
  <c r="M187" i="1"/>
  <c r="K220" i="1"/>
  <c r="M152" i="1"/>
  <c r="C156" i="1"/>
  <c r="C186" i="1"/>
  <c r="C212" i="1"/>
  <c r="H210" i="1"/>
  <c r="E87" i="1"/>
  <c r="C217" i="1"/>
  <c r="M210" i="1"/>
  <c r="F210" i="1"/>
  <c r="C87" i="1"/>
  <c r="C218" i="1"/>
  <c r="M148" i="1"/>
  <c r="C37" i="1"/>
  <c r="G158" i="1"/>
  <c r="C152" i="1"/>
  <c r="I210" i="1"/>
  <c r="C153" i="1"/>
  <c r="M216" i="1"/>
  <c r="M151" i="1"/>
  <c r="V7" i="5"/>
  <c r="M153" i="1"/>
  <c r="C185" i="1"/>
  <c r="C183" i="1"/>
  <c r="C154" i="1"/>
  <c r="T41" i="1"/>
  <c r="C182" i="1"/>
  <c r="G189" i="1"/>
  <c r="M185" i="1"/>
  <c r="M215" i="1"/>
  <c r="M217" i="1"/>
  <c r="C184" i="1"/>
  <c r="I179" i="1"/>
  <c r="C6" i="1"/>
  <c r="C151" i="1"/>
  <c r="F179" i="1"/>
  <c r="E210" i="1"/>
  <c r="G179" i="1"/>
  <c r="H148" i="1"/>
  <c r="E148" i="1"/>
  <c r="G148" i="1"/>
  <c r="M213" i="1"/>
  <c r="M181" i="1"/>
  <c r="G39" i="1"/>
  <c r="C41" i="1"/>
  <c r="K179" i="1"/>
  <c r="C35" i="1"/>
  <c r="C21" i="1"/>
  <c r="K148" i="1"/>
  <c r="U23" i="1" l="1"/>
  <c r="C9" i="5"/>
  <c r="M158" i="1"/>
  <c r="M189" i="1"/>
  <c r="J7" i="5"/>
  <c r="J6" i="5"/>
  <c r="W6" i="5"/>
  <c r="U41" i="1"/>
  <c r="W7" i="5"/>
</calcChain>
</file>

<file path=xl/sharedStrings.xml><?xml version="1.0" encoding="utf-8"?>
<sst xmlns="http://schemas.openxmlformats.org/spreadsheetml/2006/main" count="1635" uniqueCount="851">
  <si>
    <t>Gesamtumsatz</t>
  </si>
  <si>
    <t>Zivile Flugzeuge</t>
  </si>
  <si>
    <t>Militärische Flugzeuge</t>
  </si>
  <si>
    <t>Zivile Helikopter</t>
  </si>
  <si>
    <t>Militärische Helikopter</t>
  </si>
  <si>
    <t>Sonst. zivile Luftfahrt</t>
  </si>
  <si>
    <t>Sonst. militärische Luftfahrt</t>
  </si>
  <si>
    <t>Raumfahrt</t>
  </si>
  <si>
    <t>Firmenname:</t>
  </si>
  <si>
    <t>Straße:</t>
  </si>
  <si>
    <t>Telefon:</t>
  </si>
  <si>
    <t>E-Mail:</t>
  </si>
  <si>
    <t>Zulieferungen von Produkten / Teilen für:</t>
  </si>
  <si>
    <t>** Bitte benennen Sie die anderen Hersteller, an die Ihr Unternehmen zuliefert:</t>
  </si>
  <si>
    <t>Tätigkeitsbeschreibung</t>
  </si>
  <si>
    <t>Deutsch</t>
  </si>
  <si>
    <t>Firmenname</t>
  </si>
  <si>
    <t xml:space="preserve">Befindet sich das versicherte Risiko (z. B. Betriebsstätte, Wartungstätigkeiten vor Ort oder Tätigkeiten an Luftfahrzeugen von sanktionierten Vertragspartnern, Kunden) in einem dieser o.g. Länder bzw. für einen Bürger / Gesellschaft mit einem Sitz in den o.g. Ländern? </t>
  </si>
  <si>
    <t xml:space="preserve">Handelt es sich beim Versicherungsnehmer / Antragssteller um ein Tochterunternehmen einer Muttergesellschaft mit Sitz in einem dieser o.g Länder? </t>
  </si>
  <si>
    <t>Finden wissentliche (Direkt-)Exporte in eines dieser o.g Länder statt bzw. gibt es dort Vertriebspartner oder Kunden?</t>
  </si>
  <si>
    <t>Neuangebot</t>
  </si>
  <si>
    <t>Vertragsverlängerung</t>
  </si>
  <si>
    <t>Nachhaftungsversicherung</t>
  </si>
  <si>
    <t>Zeitraum: Planumsätze Luftfahrtindustrie für die kommende Versicherungsperiode 15.10. bis 15.10. eines jeden Jahres</t>
  </si>
  <si>
    <t>Bitte füllen Sie alle relevanten Felder aus, nur so kann ein verbindliches Angebot erstellt werden.</t>
  </si>
  <si>
    <t>Offene Reserven</t>
  </si>
  <si>
    <t>Hinweis:</t>
  </si>
  <si>
    <t xml:space="preserve">Kein Versicherungsschutz wird geboten für: </t>
  </si>
  <si>
    <t>1. Angebotsumfang</t>
  </si>
  <si>
    <t>Versichert werden kann nur der erste (Tier 1) und zweite (Tier 2) Zulieferer</t>
  </si>
  <si>
    <t>2. Versichertes Unternehmen</t>
  </si>
  <si>
    <t>2.1 Ansprechpartner (Kunde oder beauftragter Makler)</t>
  </si>
  <si>
    <t>2.2 Rechnungsempfänger (wenn abweichend zu 1)</t>
  </si>
  <si>
    <t>3. Tätigkeitsbeschreibung</t>
  </si>
  <si>
    <t>4. Mitzuversichernde Unternehmen</t>
  </si>
  <si>
    <t>Farbwert</t>
  </si>
  <si>
    <t>Willis Towers Watson Farben als Werte</t>
  </si>
  <si>
    <t>Hauptzeile</t>
  </si>
  <si>
    <t>Unterzeile 1</t>
  </si>
  <si>
    <t>Unterzeile 2</t>
  </si>
  <si>
    <t>Unterzeile 3</t>
  </si>
  <si>
    <t>Unterzeile 4</t>
  </si>
  <si>
    <t>Unterzeile 5</t>
  </si>
  <si>
    <t>xlThemeColorDark1</t>
  </si>
  <si>
    <t>xlThemeColorLight1</t>
  </si>
  <si>
    <t>xlThemeColorDark2</t>
  </si>
  <si>
    <t>xlThemeColorLight2</t>
  </si>
  <si>
    <t>xlThemeColorAccent1</t>
  </si>
  <si>
    <t>xlThemeColorAccent2</t>
  </si>
  <si>
    <t>xlThemeColorAccent3</t>
  </si>
  <si>
    <t>xlThemeColorAccent4</t>
  </si>
  <si>
    <t>xlThemeColorAccent5</t>
  </si>
  <si>
    <t>xlThemeColorAccent6</t>
  </si>
  <si>
    <t>English</t>
  </si>
  <si>
    <t>New quote</t>
  </si>
  <si>
    <t>Prolongation of contract</t>
  </si>
  <si>
    <t>Umsatz- und Risikofragebogen zur Luftfahrt Produkthaftpflicht Versicherung</t>
  </si>
  <si>
    <t>.</t>
  </si>
  <si>
    <t>label.TypeOfQuote</t>
  </si>
  <si>
    <t>Bitte wählen Sie die gewünschte Angebotsvariante aus:</t>
  </si>
  <si>
    <t>Please select the type of quote:</t>
  </si>
  <si>
    <t>label.CompanyName</t>
  </si>
  <si>
    <t>label.Street_No</t>
  </si>
  <si>
    <t>label.Country</t>
  </si>
  <si>
    <t>Street No.:</t>
  </si>
  <si>
    <t>Country:</t>
  </si>
  <si>
    <t>Land:</t>
  </si>
  <si>
    <t>Indien</t>
  </si>
  <si>
    <t>AU</t>
  </si>
  <si>
    <t>CH</t>
  </si>
  <si>
    <t>NL</t>
  </si>
  <si>
    <t>Israel</t>
  </si>
  <si>
    <t>Romania</t>
  </si>
  <si>
    <t>Turkey</t>
  </si>
  <si>
    <t>France</t>
  </si>
  <si>
    <t>Denmark</t>
  </si>
  <si>
    <t>UK</t>
  </si>
  <si>
    <t>Netherlands</t>
  </si>
  <si>
    <t>Italy</t>
  </si>
  <si>
    <t>FI</t>
  </si>
  <si>
    <t>PL</t>
  </si>
  <si>
    <t>DE</t>
  </si>
  <si>
    <t>FR</t>
  </si>
  <si>
    <t>BE</t>
  </si>
  <si>
    <t>IN</t>
  </si>
  <si>
    <t>IT</t>
  </si>
  <si>
    <t>ES</t>
  </si>
  <si>
    <t>IL</t>
  </si>
  <si>
    <t>RO</t>
  </si>
  <si>
    <t>TR</t>
  </si>
  <si>
    <t>DK</t>
  </si>
  <si>
    <t>AT</t>
  </si>
  <si>
    <t>NO</t>
  </si>
  <si>
    <t>Australia</t>
  </si>
  <si>
    <t>Belgium</t>
  </si>
  <si>
    <t>Österreich</t>
  </si>
  <si>
    <t>Australien</t>
  </si>
  <si>
    <t>Belgien</t>
  </si>
  <si>
    <t>Schweiz</t>
  </si>
  <si>
    <t>Switzerland</t>
  </si>
  <si>
    <t>Deutschland</t>
  </si>
  <si>
    <t>Dänemark</t>
  </si>
  <si>
    <t>Spanien</t>
  </si>
  <si>
    <t>Spain</t>
  </si>
  <si>
    <t>Finnland</t>
  </si>
  <si>
    <t>Finland</t>
  </si>
  <si>
    <t>Frankreich</t>
  </si>
  <si>
    <t>Italien</t>
  </si>
  <si>
    <t>India</t>
  </si>
  <si>
    <t>Niederlande</t>
  </si>
  <si>
    <t>Norwegen</t>
  </si>
  <si>
    <t>Norway</t>
  </si>
  <si>
    <t>Polen</t>
  </si>
  <si>
    <t>Poland</t>
  </si>
  <si>
    <t>Rumänien</t>
  </si>
  <si>
    <t>Türkei</t>
  </si>
  <si>
    <t>United Kingdom</t>
  </si>
  <si>
    <t>Großbritannien</t>
  </si>
  <si>
    <t>area.Countries</t>
  </si>
  <si>
    <t>areaSV.Countries</t>
  </si>
  <si>
    <t>1. Matter of quote</t>
  </si>
  <si>
    <t>Ergebnis / Result</t>
  </si>
  <si>
    <t>2. Insured company</t>
  </si>
  <si>
    <t>Anrede:</t>
  </si>
  <si>
    <t>City:</t>
  </si>
  <si>
    <t>Run-off coverage</t>
  </si>
  <si>
    <t>Keine Vertragsverlängerung</t>
  </si>
  <si>
    <t>No prolongation of contract</t>
  </si>
  <si>
    <t>Verlängerte Werkbank</t>
  </si>
  <si>
    <t>Eigene Spezifikation</t>
  </si>
  <si>
    <t>Ja</t>
  </si>
  <si>
    <t>Nein</t>
  </si>
  <si>
    <t>Hier klicken</t>
  </si>
  <si>
    <t>Vorname:</t>
  </si>
  <si>
    <t>M/F</t>
  </si>
  <si>
    <t>Briefanrede</t>
  </si>
  <si>
    <t>Frau</t>
  </si>
  <si>
    <t>Sehr geehrte Frau</t>
  </si>
  <si>
    <t>Sehr geehrter Herr</t>
  </si>
  <si>
    <t>Mr.</t>
  </si>
  <si>
    <t>Dear Mr.</t>
  </si>
  <si>
    <t>Herrn</t>
  </si>
  <si>
    <t>Mrs.</t>
  </si>
  <si>
    <t>Dear Mrs.</t>
  </si>
  <si>
    <t>areaSV.Greetings</t>
  </si>
  <si>
    <t>Austria</t>
  </si>
  <si>
    <t>Czech Republik</t>
  </si>
  <si>
    <t>Germany</t>
  </si>
  <si>
    <t>Great Britain</t>
  </si>
  <si>
    <t>USA</t>
  </si>
  <si>
    <t>CZ</t>
  </si>
  <si>
    <t>Tschechien</t>
  </si>
  <si>
    <t>US</t>
  </si>
  <si>
    <t>United States</t>
  </si>
  <si>
    <t>val.SelectedLanguage</t>
  </si>
  <si>
    <t>lu.DDL.Language</t>
  </si>
  <si>
    <t>Referenzname / Input</t>
  </si>
  <si>
    <t>lu.DDL</t>
  </si>
  <si>
    <t>DropDownList</t>
  </si>
  <si>
    <t>areaSV</t>
  </si>
  <si>
    <t>Matrix für SVWERWEIS</t>
  </si>
  <si>
    <t>label</t>
  </si>
  <si>
    <t>Anzeigetext im Formular</t>
  </si>
  <si>
    <t>val</t>
  </si>
  <si>
    <t>Wert (für Weiterverarbeitung)</t>
  </si>
  <si>
    <t>lu.DDL.TypeOfQuote</t>
  </si>
  <si>
    <t>label.section1.TypeOfQuote</t>
  </si>
  <si>
    <t>für den Schriftwechsel verwendet:</t>
  </si>
  <si>
    <t>lu.DDL.TypeOfProduction</t>
  </si>
  <si>
    <t>Own specification</t>
  </si>
  <si>
    <t>Contract manufacturing</t>
  </si>
  <si>
    <t>Yes</t>
  </si>
  <si>
    <t>No</t>
  </si>
  <si>
    <t>lu.DLL.YesNo</t>
  </si>
  <si>
    <t>label.ZIP</t>
  </si>
  <si>
    <t>label.City</t>
  </si>
  <si>
    <t>ZIP:</t>
  </si>
  <si>
    <t>PLZ:</t>
  </si>
  <si>
    <t>Ort:</t>
  </si>
  <si>
    <t>label.correspondence_note</t>
  </si>
  <si>
    <t>used for letter address:</t>
  </si>
  <si>
    <t>lu.DDL.Greetings</t>
  </si>
  <si>
    <t>Nachname:</t>
  </si>
  <si>
    <t>Kunde</t>
  </si>
  <si>
    <t>Makler</t>
  </si>
  <si>
    <t>Client</t>
  </si>
  <si>
    <t>Broker</t>
  </si>
  <si>
    <t>lu.DDL.ContactType</t>
  </si>
  <si>
    <t>label.Contact.Firstname</t>
  </si>
  <si>
    <t>label.Contact.Lastname</t>
  </si>
  <si>
    <t>label.Salutation</t>
  </si>
  <si>
    <t>Company (different from 2.):</t>
  </si>
  <si>
    <t>Firma (falls abweichend zu 2):</t>
  </si>
  <si>
    <t>label.ContactPhone</t>
  </si>
  <si>
    <t>label.ContactMail</t>
  </si>
  <si>
    <t>Phone:</t>
  </si>
  <si>
    <t>label.ContactCompany</t>
  </si>
  <si>
    <t>label.ContactType</t>
  </si>
  <si>
    <t>Kontakttyp:</t>
  </si>
  <si>
    <t>Type of contact:</t>
  </si>
  <si>
    <t>label.section2.InsuredCompany</t>
  </si>
  <si>
    <t>label.section2_1.InsuredCompanyContact</t>
  </si>
  <si>
    <t>label.section2_2.BillingAddress</t>
  </si>
  <si>
    <t>2.2 Billing address (if different to 1.)</t>
  </si>
  <si>
    <t>label.section3.BusinessActivities</t>
  </si>
  <si>
    <t>label.BusinessActivitiesHint</t>
  </si>
  <si>
    <t>label.BusinessActivitiesHintLine1</t>
  </si>
  <si>
    <t>label.BusinessActivitiesHintLine2</t>
  </si>
  <si>
    <t>label.BusinessActivitiesHintLine3</t>
  </si>
  <si>
    <t>Coverage is possible for Tier 1 and Tier 2 suppliers only.</t>
  </si>
  <si>
    <t>Note:</t>
  </si>
  <si>
    <t>3. Business activities</t>
  </si>
  <si>
    <t>label.section4.AddtionalCompanies</t>
  </si>
  <si>
    <t>4. Additional companies to be insured</t>
  </si>
  <si>
    <t>label.AddtlCompanies</t>
  </si>
  <si>
    <t>label.AddtlCompanies.TreadActHint</t>
  </si>
  <si>
    <t>label.AddtlCompanies.TreadActURL</t>
  </si>
  <si>
    <t>Click here</t>
  </si>
  <si>
    <t>4.1 Own subsidiaries to be included into contract</t>
  </si>
  <si>
    <t>label.section4_1.Subsidiaries</t>
  </si>
  <si>
    <t>label.Subsidiaries.Companyname</t>
  </si>
  <si>
    <t>label.Subsidiaries.BusinessActivities</t>
  </si>
  <si>
    <t>label.Subsidiaries.AdressInclCountry</t>
  </si>
  <si>
    <t>Business activities</t>
  </si>
  <si>
    <t>Adresse inkl. Land</t>
  </si>
  <si>
    <t>Postal address incl. country</t>
  </si>
  <si>
    <t>label.TypeOfProduction</t>
  </si>
  <si>
    <t>label.UmsatzGT50</t>
  </si>
  <si>
    <t>Verlängerte Werkbank / Eigene Spezifikation</t>
  </si>
  <si>
    <t>Contract manufacturing / Own specification</t>
  </si>
  <si>
    <t>label.section4_2.Subcontractors</t>
  </si>
  <si>
    <t xml:space="preserve">   Wenn ja, in welche Länder?</t>
  </si>
  <si>
    <t>Gewünschter Vertragsbeginn:</t>
  </si>
  <si>
    <t>EUR</t>
  </si>
  <si>
    <t>lu.DDL.LimitOfIndemnity</t>
  </si>
  <si>
    <t>label.HintRegNoFurtherInterest</t>
  </si>
  <si>
    <t>ROW Services</t>
  </si>
  <si>
    <t>ROW Labour</t>
  </si>
  <si>
    <t>USA / CAN Services</t>
  </si>
  <si>
    <t>USA / CAN Labour</t>
  </si>
  <si>
    <t>[EUR]</t>
  </si>
  <si>
    <t>Zu versichernder Plan-Umsatz</t>
  </si>
  <si>
    <t>ROW Products</t>
  </si>
  <si>
    <t>USA / CAN Products</t>
  </si>
  <si>
    <t>Totals</t>
  </si>
  <si>
    <t>Deliveries of products / parts for:</t>
  </si>
  <si>
    <t>Leerspalte</t>
  </si>
  <si>
    <t>Plan sales to be insured</t>
  </si>
  <si>
    <t>Aircraft civil</t>
  </si>
  <si>
    <t>Aircraft military</t>
  </si>
  <si>
    <t>Helicopter civil</t>
  </si>
  <si>
    <t>Helicopter military</t>
  </si>
  <si>
    <t>Aeronautics civil</t>
  </si>
  <si>
    <t>Aeronautics military</t>
  </si>
  <si>
    <t>Space</t>
  </si>
  <si>
    <t>Total revenue</t>
  </si>
  <si>
    <t>Erbringung von Dienstleistungen / Software</t>
  </si>
  <si>
    <t>Provision of services / software</t>
  </si>
  <si>
    <t>Arbeitnehmerüberlassung (AÜ)</t>
  </si>
  <si>
    <t>Labour leasing</t>
  </si>
  <si>
    <t>label.section11.ClaimsDate</t>
  </si>
  <si>
    <t>label.section11.ClaimsExplanation</t>
  </si>
  <si>
    <t>label.section11.ClaimsAmount</t>
  </si>
  <si>
    <t>label.section11.ClaimsReserves</t>
  </si>
  <si>
    <t>Umsatzanteil ROW</t>
  </si>
  <si>
    <t>Umsatzanteil USA / CAN</t>
  </si>
  <si>
    <t>label.section11.NO_ClaimsConfirmation</t>
  </si>
  <si>
    <t>Amount of claim</t>
  </si>
  <si>
    <t>Schadenhergang (in Stichworten)</t>
  </si>
  <si>
    <t>Bitte bestätigen Sie, ob in den letzten 5 Jahren Schäden eingetreten sind. Waren / Sind Ihnen Schäden bekannt?</t>
  </si>
  <si>
    <t>label.HintThankYou</t>
  </si>
  <si>
    <t>Vielen Dank für das Ausfüllen dieses Fragebogens! Senden Sie ihn bitte unbedingt als EXCEL-Datei an uns!</t>
  </si>
  <si>
    <t>output / value</t>
  </si>
  <si>
    <t>fieldname</t>
  </si>
  <si>
    <t>val.Sect1.SelectedTypeOfQuote</t>
  </si>
  <si>
    <t>val.Sect2.insured.company.name</t>
  </si>
  <si>
    <t>val.Sect2.insured.company.street</t>
  </si>
  <si>
    <t>val.Sect2.insured.company.ZIP</t>
  </si>
  <si>
    <t>val.Sect2.insured.company.City</t>
  </si>
  <si>
    <t>val.Sect2.insured.company.country</t>
  </si>
  <si>
    <t>val.Sect2.insured.company.countryOUTPUT</t>
  </si>
  <si>
    <t>val.Sect2_1.insured.company.contactname</t>
  </si>
  <si>
    <t>val.Sect2_1.insured.company.contactprename</t>
  </si>
  <si>
    <t>val.Sect2_1.insured.company.contactgreeting</t>
  </si>
  <si>
    <t>val.Sect2.insured.company.ALTname</t>
  </si>
  <si>
    <t>val.Sect2_1.insured.company.contacttelephone</t>
  </si>
  <si>
    <t>val.Sect2_1.insured.company.contactmail</t>
  </si>
  <si>
    <t>val.Sect2_2.billed.company.name</t>
  </si>
  <si>
    <t>val.Sect2_2.billed.company.street</t>
  </si>
  <si>
    <t>val.Sect2_2.billed.company.ZIP</t>
  </si>
  <si>
    <t>val.Sect2_2.billed.company.City</t>
  </si>
  <si>
    <t>val.Sect2_2.billed.company.country</t>
  </si>
  <si>
    <t>val.Sect2_2.billed.company.countryOUTPUT</t>
  </si>
  <si>
    <t>val.Sect3.insured.company.businessactivity.1</t>
  </si>
  <si>
    <t>val.Sect3.insured.company.businessactivity.2</t>
  </si>
  <si>
    <t>val.Sect3.insured.company.businessactivity.3</t>
  </si>
  <si>
    <t>val.Sect4_1.subsidiary1.companyname</t>
  </si>
  <si>
    <t>val.Sect4_1.subsidiary1.address</t>
  </si>
  <si>
    <t>val.Sect4_1.subsidiary1.businessactivity</t>
  </si>
  <si>
    <t>val.Sect4_1.subsidiary2.companyname</t>
  </si>
  <si>
    <t>val.Sect4_1.subsidiary2.address</t>
  </si>
  <si>
    <t>val.Sect4_1.subsidiary2.businessactivity</t>
  </si>
  <si>
    <t>val.Sect4_1.subsidiary3.companyname</t>
  </si>
  <si>
    <t>val.Sect4_1.subsidiary3.address</t>
  </si>
  <si>
    <t>val.Sect4_1.subsidiary3.businessactivity</t>
  </si>
  <si>
    <t>val.Sect4_1.subsidiary4.companyname</t>
  </si>
  <si>
    <t>val.Sect4_1.subsidiary4.address</t>
  </si>
  <si>
    <t>val.Sect4_1.subsidiary4.businessactivity</t>
  </si>
  <si>
    <t>val.Sect4_2.external1.companyname</t>
  </si>
  <si>
    <t>val.Sect4_2.external1.address</t>
  </si>
  <si>
    <t>val.Sect4_2.external1.ContractOwn</t>
  </si>
  <si>
    <t>val.Sect4_2.external1.Revenue50plus</t>
  </si>
  <si>
    <t>val.Sect4_2.external2.companyname</t>
  </si>
  <si>
    <t>val.Sect4_2.external2.address</t>
  </si>
  <si>
    <t>val.Sect4_2.external2.ContractOwn</t>
  </si>
  <si>
    <t>val.Sect4_2.external2.Revenue50plus</t>
  </si>
  <si>
    <t>val.Sect4_2.external3.companyname</t>
  </si>
  <si>
    <t>val.Sect4_2.external3.address</t>
  </si>
  <si>
    <t>val.Sect4_2.external3.ContractOwn</t>
  </si>
  <si>
    <t>val.Sect4_2.external3.Revenue50plus</t>
  </si>
  <si>
    <t>val.Sect4_2.external4.companyname</t>
  </si>
  <si>
    <t>val.Sect4_2.external4.address</t>
  </si>
  <si>
    <t>val.Sect4_2.external4.ContractOwn</t>
  </si>
  <si>
    <t>val.Sect4_2.external4.Revenue50plus</t>
  </si>
  <si>
    <t>val.Sect4_2.external.YESNO</t>
  </si>
  <si>
    <t>val.Sect4_1.subsidiaries.YESNO</t>
  </si>
  <si>
    <t>Turnover ROW</t>
  </si>
  <si>
    <t>Turnover USA / CAN</t>
  </si>
  <si>
    <t>Empty column</t>
  </si>
  <si>
    <t>val.Sect9_1.Products.ROW</t>
  </si>
  <si>
    <t>val.Sect9_2.Services.ROW</t>
  </si>
  <si>
    <t>val.Sect9_2.Services.USACAN</t>
  </si>
  <si>
    <t>val.Sect9_3.LabourLease.ROW</t>
  </si>
  <si>
    <t>val.Sect9_3.LabourLease.USACAN</t>
  </si>
  <si>
    <t>val.Sect10.ExistingLocalPolGT_USD5M.YESNO</t>
  </si>
  <si>
    <t>val.Sect11.confirmedClaims.YESNO</t>
  </si>
  <si>
    <t>label.Headline</t>
  </si>
  <si>
    <t>label.Subtitle</t>
  </si>
  <si>
    <t>XX</t>
  </si>
  <si>
    <t>Other</t>
  </si>
  <si>
    <t>Sonstiges</t>
  </si>
  <si>
    <t>Sonstige</t>
  </si>
  <si>
    <t>** Bitte benennen Sie die anderen Hersteller, denen Ihr Unternehmen Arbeitskräfte stellt:</t>
  </si>
  <si>
    <t>** Please name the other manufacturers to which your company delivers workforce to:</t>
  </si>
  <si>
    <t>** Bitte benennen Sie die anderen Hersteller, für die Ihr Unternehmen eine Dienstleistung erbringt:</t>
  </si>
  <si>
    <t xml:space="preserve"> </t>
  </si>
  <si>
    <t>Ausgewählte Sprache</t>
  </si>
  <si>
    <t>Beschreibung</t>
  </si>
  <si>
    <t>Gewählte Angebotsvariante</t>
  </si>
  <si>
    <t>Nur Landname</t>
  </si>
  <si>
    <t>2_1</t>
  </si>
  <si>
    <t>2_2</t>
  </si>
  <si>
    <t>val.Sect2_1.insured.company.ALTname</t>
  </si>
  <si>
    <t>val.Sect2_1.insured.company.contacttype</t>
  </si>
  <si>
    <t>3. Tätigkeitsbeschreibung Zeile 1</t>
  </si>
  <si>
    <t>3. Tätigkeitsbeschreibung Zeile 2</t>
  </si>
  <si>
    <t>3. Tätigkeitsbeschreibung Zeile 3</t>
  </si>
  <si>
    <t>4_1</t>
  </si>
  <si>
    <t>4_2</t>
  </si>
  <si>
    <t>Tochterunternehmen, eingeschlossen?</t>
  </si>
  <si>
    <t>Firmenname 1</t>
  </si>
  <si>
    <t>Adresse inkl. Land 1</t>
  </si>
  <si>
    <t>Tätigkeitsbeschreibung 1</t>
  </si>
  <si>
    <t>Firmenname 2</t>
  </si>
  <si>
    <t>Adresse inkl. Land 2</t>
  </si>
  <si>
    <t>Tätigkeitsbeschreibung 2</t>
  </si>
  <si>
    <t>Firmenname 3</t>
  </si>
  <si>
    <t>Adresse inkl. Land 3</t>
  </si>
  <si>
    <t>Tätigkeitsbeschreibung 3</t>
  </si>
  <si>
    <t>Firmenname 4</t>
  </si>
  <si>
    <t>Adresse inkl. Land 4</t>
  </si>
  <si>
    <t>Tätigkeitsbeschreibung 4</t>
  </si>
  <si>
    <t>Fremde Sub-/Unterauftragnehmer, eingeschlossen?</t>
  </si>
  <si>
    <t>Werkbank / Eigen 1</t>
  </si>
  <si>
    <t>Airbusumsatz GE 50% 1</t>
  </si>
  <si>
    <t>Werkbank / Eigen 2</t>
  </si>
  <si>
    <t>Airbusumsatz GE 50% 2</t>
  </si>
  <si>
    <t>Werkbank / Eigen 3</t>
  </si>
  <si>
    <t>Airbusumsatz GE 50% 3</t>
  </si>
  <si>
    <t>Werkbank / Eigen 4</t>
  </si>
  <si>
    <t>Airbusumsatz GE 50% 4</t>
  </si>
  <si>
    <t>Risiko in sanktioniertem Land?</t>
  </si>
  <si>
    <t>VN in sanktioniertem Land?</t>
  </si>
  <si>
    <t>Tochter einer Mutter-VN in sanktioniertem Land?</t>
  </si>
  <si>
    <t>Export oder Vertrieb in sanktioniertes Land?</t>
  </si>
  <si>
    <t>Wenn ja, in welche Länder?</t>
  </si>
  <si>
    <t>Gewünschte Deckungssumme</t>
  </si>
  <si>
    <t>ROW</t>
  </si>
  <si>
    <t>Dienstleister auf Flughäfen / Lieferungen für Bodenequipment</t>
  </si>
  <si>
    <t>Bitte wählen Sie die Versicherungssumme aus, für die Sie ein Angebot wünschen:</t>
  </si>
  <si>
    <t>Last name:</t>
  </si>
  <si>
    <t>First name:</t>
  </si>
  <si>
    <t>Company name:</t>
  </si>
  <si>
    <t>Company name</t>
  </si>
  <si>
    <t>Title:</t>
  </si>
  <si>
    <t>Inception date:</t>
  </si>
  <si>
    <t>Is the insured risk (e.g. premises, maintenance and repair activities, clients, contract partners) located in one of the a.m. countries or  do exist contracts with persons, companies or institutions situated in one of these countries?</t>
  </si>
  <si>
    <t>Is the Insured Company/applicant a subsidiary of a company with registered  office in one of the a.m. countries or owned by a person or institution of these countries?</t>
  </si>
  <si>
    <t>Are there any known (direct-) exports into of the a.m. countries or are these sales representatives or clients in these countries?</t>
  </si>
  <si>
    <t xml:space="preserve">   If yes, in which countries?</t>
  </si>
  <si>
    <t>Sales &amp; Risk Questionnaire for Aviation and Space Insurance</t>
  </si>
  <si>
    <t>2.1 Contact (client or representative)</t>
  </si>
  <si>
    <t>No quotation will be issued for:</t>
  </si>
  <si>
    <t>Service provider at airports, supplier for ground equipment</t>
  </si>
  <si>
    <t>Please select for which limit of indemnity you would like to receive a quotation:</t>
  </si>
  <si>
    <t>Period: Estimated sales of aviation industry for the next insurance period (Oct, 15th to Oct, 15th of each year)</t>
  </si>
  <si>
    <t>Please fill in all relevant fields to garantuee a binding offer to be issued. Thank you!</t>
  </si>
  <si>
    <t>** Please name the other manufacturers to which your company deliver services to:</t>
  </si>
  <si>
    <t>Claims description (in brief words)</t>
  </si>
  <si>
    <t>Date of loss</t>
  </si>
  <si>
    <t>thereof reserves</t>
  </si>
  <si>
    <t>Thank you very much for completion of this questionnaire! Please send it back as EXCEL file!</t>
  </si>
  <si>
    <t>x</t>
  </si>
  <si>
    <t>Product</t>
  </si>
  <si>
    <t>Airbus</t>
  </si>
  <si>
    <t>NON Airbus</t>
  </si>
  <si>
    <t>USA CAN</t>
  </si>
  <si>
    <t>Services</t>
  </si>
  <si>
    <t>Vorschäden besätigt?</t>
  </si>
  <si>
    <t>Existierende Policen &gt;= 5 M USD?</t>
  </si>
  <si>
    <t>We kindly ask you to send us back the filled-out questionnaire to airbus.scheme@willistowerswatson.com, even if you choose not to prolongate the contract. Thank you!</t>
  </si>
  <si>
    <t>Bei Unternehmen mit Sitz in den USA ist der TRIA-Fragebogen (auf der Internetseite abrufbar) auszufüllen</t>
  </si>
  <si>
    <t>For companies residing in the USA the TRIA questionnaire must be filled out:</t>
  </si>
  <si>
    <t>Francais</t>
  </si>
  <si>
    <t>Oui</t>
  </si>
  <si>
    <t>Non</t>
  </si>
  <si>
    <t>val.Sect4_1.subsidiary5.address</t>
  </si>
  <si>
    <t>val.Sect4_1.subsidiary5.businessactivity</t>
  </si>
  <si>
    <t>val.Sect4_1.subsidiary5.companyname</t>
  </si>
  <si>
    <t>val.Sect4_1.subsidiary6.address</t>
  </si>
  <si>
    <t>val.Sect4_1.subsidiary6.businessactivity</t>
  </si>
  <si>
    <t>val.Sect4_1.subsidiary6.companyname</t>
  </si>
  <si>
    <t>val.Sect4_1.subsidiary7.address</t>
  </si>
  <si>
    <t>val.Sect4_1.subsidiary7.businessactivity</t>
  </si>
  <si>
    <t>val.Sect4_1.subsidiary7.companyname</t>
  </si>
  <si>
    <t>val.Sect4_1.subsidiary8.address</t>
  </si>
  <si>
    <t>val.Sect4_1.subsidiary8.businessactivity</t>
  </si>
  <si>
    <t>val.Sect4_1.subsidiary8.companyname</t>
  </si>
  <si>
    <t>val.Sect4_1.subsidiary9.address</t>
  </si>
  <si>
    <t>val.Sect4_1.subsidiary9.businessactivity</t>
  </si>
  <si>
    <t>val.Sect4_1.subsidiary9.companyname</t>
  </si>
  <si>
    <t>val.Sect4_1.subsidiary10.address</t>
  </si>
  <si>
    <t>val.Sect4_1.subsidiary10.businessactivity</t>
  </si>
  <si>
    <t>val.Sect4_1.subsidiary10.companyname</t>
  </si>
  <si>
    <t>Adresse inkl. Land 5</t>
  </si>
  <si>
    <t>Tätigkeitsbeschreibung 5</t>
  </si>
  <si>
    <t>Firmenname 5</t>
  </si>
  <si>
    <t>Adresse inkl. Land 6</t>
  </si>
  <si>
    <t>Tätigkeitsbeschreibung 6</t>
  </si>
  <si>
    <t>Firmenname 6</t>
  </si>
  <si>
    <t>Adresse inkl. Land 7</t>
  </si>
  <si>
    <t>Tätigkeitsbeschreibung 7</t>
  </si>
  <si>
    <t>Firmenname 7</t>
  </si>
  <si>
    <t>Adresse inkl. Land 8</t>
  </si>
  <si>
    <t>Tätigkeitsbeschreibung 8</t>
  </si>
  <si>
    <t>Firmenname 8</t>
  </si>
  <si>
    <t>Adresse inkl. Land 9</t>
  </si>
  <si>
    <t>Tätigkeitsbeschreibung 9</t>
  </si>
  <si>
    <t>Firmenname 9</t>
  </si>
  <si>
    <t>Adresse inkl. Land 10</t>
  </si>
  <si>
    <t>Tätigkeitsbeschreibung 10</t>
  </si>
  <si>
    <t>Firmenname 10</t>
  </si>
  <si>
    <t>ToDos</t>
  </si>
  <si>
    <t>Erledigt</t>
  </si>
  <si>
    <t>#</t>
  </si>
  <si>
    <t>ToDo</t>
  </si>
  <si>
    <t>Folgeaktivität</t>
  </si>
  <si>
    <t>Erweiterung der Seriendokumente</t>
  </si>
  <si>
    <t>Fallunterscheidung in Seriendokumente</t>
  </si>
  <si>
    <r>
      <t xml:space="preserve">Sektion 2.2 </t>
    </r>
    <r>
      <rPr>
        <b/>
        <sz val="10"/>
        <rFont val="Arial"/>
        <family val="2"/>
      </rPr>
      <t>Neues Feld einfügen</t>
    </r>
    <r>
      <rPr>
        <sz val="10"/>
        <rFont val="Arial"/>
        <family val="2"/>
      </rPr>
      <t>: E-Mailadresse für Rechnungsempfänger</t>
    </r>
  </si>
  <si>
    <t>Folge #</t>
  </si>
  <si>
    <r>
      <t>4.1 Überschrift ändern: "Eigene Tochterunternehmen, die" ändern in "Eigene Tochter</t>
    </r>
    <r>
      <rPr>
        <b/>
        <sz val="10"/>
        <rFont val="Arial"/>
        <family val="2"/>
      </rPr>
      <t>- / Schwester</t>
    </r>
    <r>
      <rPr>
        <sz val="10"/>
        <rFont val="Arial"/>
        <family val="2"/>
      </rPr>
      <t xml:space="preserve">unternehmen, die" </t>
    </r>
  </si>
  <si>
    <t>Sektion 4.1 über die Spalten für die Eingabe einen Hinweis (lila, verbundene Zellen über die gesamte Breite "Für Unternehmen außerhalb der EU ist die Angabe zu Lokalpolicen bei Ziffer 10 notwendig!"</t>
  </si>
  <si>
    <t>Dies auch in Englisch und Französisch</t>
  </si>
  <si>
    <t>Sektion 4.2 "Sub-/" streichen.</t>
  </si>
  <si>
    <t>Dies auch in Englisch</t>
  </si>
  <si>
    <t>Sektion 4.2 Änderungen "Umsatz mit versicherten Unternehmen größer 50%" nicht mehr J/N-flag , sondern Umsatzwert</t>
  </si>
  <si>
    <t>Sektion 5. soll entfallen!</t>
  </si>
  <si>
    <t>ERHEBLICHER AUFWAND</t>
  </si>
  <si>
    <t>Sektion 7. Hinweis ändern: "Ablauf ist immer 15. Oktober eines jeden Jahres."</t>
  </si>
  <si>
    <t>Sektion 7. statt "M" Angabe z.B. "In Millionen"</t>
  </si>
  <si>
    <t>Dies auch in Englisch und Französisch
Achtung! Angabe in Angebot und Zertifikat überprüfen bzgl. Mio etc.</t>
  </si>
  <si>
    <r>
      <t xml:space="preserve">Allgemeine Schreibsweise : </t>
    </r>
    <r>
      <rPr>
        <b/>
        <sz val="10"/>
        <rFont val="Arial"/>
        <family val="2"/>
      </rPr>
      <t>Airbus group</t>
    </r>
    <r>
      <rPr>
        <sz val="10"/>
        <rFont val="Arial"/>
        <family val="2"/>
      </rPr>
      <t>, damit der Konzern genannt ist</t>
    </r>
  </si>
  <si>
    <r>
      <t xml:space="preserve">9.1 Herstellung / Vertrieb von Teilen / Baugruppen für Luftfahrzeuge, </t>
    </r>
    <r>
      <rPr>
        <b/>
        <sz val="10"/>
        <rFont val="Arial"/>
        <family val="2"/>
      </rPr>
      <t>Bearbeitung / Tätigkeiten an Luftfahrzeugen</t>
    </r>
  </si>
  <si>
    <r>
      <t xml:space="preserve">Sektion 10. Große Änderung an Sektion. Mind. 3 neue Spalten sowie der Hinweis zu Lokalpolicen
Vorgabe und Muster kommt von </t>
    </r>
    <r>
      <rPr>
        <b/>
        <sz val="10"/>
        <color rgb="FFFF0000"/>
        <rFont val="Arial"/>
        <family val="2"/>
      </rPr>
      <t>Hr. Güntter</t>
    </r>
  </si>
  <si>
    <r>
      <t xml:space="preserve">Sektion 6. Titel soll geändert werden. </t>
    </r>
    <r>
      <rPr>
        <b/>
        <sz val="10"/>
        <color rgb="FFFF0000"/>
        <rFont val="Arial"/>
        <family val="2"/>
      </rPr>
      <t xml:space="preserve">Fr. Grillenberger </t>
    </r>
    <r>
      <rPr>
        <sz val="10"/>
        <rFont val="Arial"/>
        <family val="2"/>
      </rPr>
      <t>sendet "Wunsch"</t>
    </r>
  </si>
  <si>
    <r>
      <t xml:space="preserve">Sektion 8. Ergänzender Text für gesplittete Versicherungssumme. Textvorschlag von </t>
    </r>
    <r>
      <rPr>
        <b/>
        <sz val="10"/>
        <color rgb="FFFF0000"/>
        <rFont val="Arial"/>
        <family val="2"/>
      </rPr>
      <t>Hr. Güntter</t>
    </r>
  </si>
  <si>
    <r>
      <rPr>
        <b/>
        <sz val="10"/>
        <rFont val="Arial"/>
        <family val="2"/>
      </rPr>
      <t xml:space="preserve">Arbeitsblatt "LU" an </t>
    </r>
    <r>
      <rPr>
        <b/>
        <sz val="10"/>
        <color rgb="FFFF0000"/>
        <rFont val="Arial"/>
        <family val="2"/>
      </rPr>
      <t xml:space="preserve">Fr. Grillenberger </t>
    </r>
    <r>
      <rPr>
        <b/>
        <sz val="10"/>
        <rFont val="Arial"/>
        <family val="2"/>
      </rPr>
      <t>senden</t>
    </r>
    <r>
      <rPr>
        <sz val="10"/>
        <rFont val="Arial"/>
        <family val="2"/>
      </rPr>
      <t>, um die Übersetzung für französischen Text zu veranlassen.</t>
    </r>
  </si>
  <si>
    <t>Französische Texte einbauen</t>
  </si>
  <si>
    <t>Französisch</t>
  </si>
  <si>
    <t>im Rahmen des Airbus SE Zulieferer Versicherungsprogramms</t>
  </si>
  <si>
    <t>regarding the Airbus SE supplier scheme</t>
  </si>
  <si>
    <r>
      <t xml:space="preserve">Sektion 3 </t>
    </r>
    <r>
      <rPr>
        <b/>
        <sz val="10"/>
        <rFont val="Arial"/>
        <family val="2"/>
      </rPr>
      <t>Drei neue Zeilen</t>
    </r>
    <r>
      <rPr>
        <sz val="10"/>
        <rFont val="Arial"/>
        <family val="2"/>
      </rPr>
      <t xml:space="preserve"> für die Tätigkeitsbeschreibung</t>
    </r>
  </si>
  <si>
    <t>4.1 Eigene Tochter- / Schwesterunternehmen, die eingeschlossen werden sollen</t>
  </si>
  <si>
    <t>label.OutsideEUsee10</t>
  </si>
  <si>
    <t>4.2 Unterauftragnehmer / Zulieferer, die eingeschlossen werden sollen</t>
  </si>
  <si>
    <t>4.2 Contractors to be included into contract</t>
  </si>
  <si>
    <t>Hinweis: Ablauf ist immer 15. Oktober eines jeden Jahres!</t>
  </si>
  <si>
    <t>Note: For any limit of indemnity please fill out a single questionnaire to receive an alternative quotation! If a split of the insured sum is necessary, please give us note and information by mail.</t>
  </si>
  <si>
    <t>Bitte für jede Versicherungssummenvariante einen separaten Fragebogen ausfüllen. Sie erhalten für jede Versicherungssummenvariante ein separates Angebot! Eine eventuelle Aufteilung der Versicherungssumme geben Sie uns bitte per E-Mail auf!</t>
  </si>
  <si>
    <t>Please deliver current certificates of insurance!</t>
  </si>
  <si>
    <t>val.Sect2_2.billed.company.contactmail</t>
  </si>
  <si>
    <t>3. Tätigkeitsbeschreibung Zeile 4</t>
  </si>
  <si>
    <t>3. Tätigkeitsbeschreibung Zeile 5</t>
  </si>
  <si>
    <t>3. Tätigkeitsbeschreibung Zeile 6</t>
  </si>
  <si>
    <t>val.Sect3.insured.company.businessactivity.4</t>
  </si>
  <si>
    <t>val.Sect3.insured.company.businessactivity.5</t>
  </si>
  <si>
    <t>val.Sect3.insured.company.businessactivity.6</t>
  </si>
  <si>
    <t>Angebot</t>
  </si>
  <si>
    <t>Zertifikat</t>
  </si>
  <si>
    <t>Deckungszusage</t>
  </si>
  <si>
    <r>
      <t xml:space="preserve">Sektion 4.2 Subunternehmer ins </t>
    </r>
    <r>
      <rPr>
        <b/>
        <sz val="10"/>
        <rFont val="Arial"/>
        <family val="2"/>
      </rPr>
      <t>Angebot</t>
    </r>
    <r>
      <rPr>
        <sz val="10"/>
        <rFont val="Arial"/>
        <family val="2"/>
      </rPr>
      <t xml:space="preserve"> übernehmen. Im Zertifikat bereits enthalten</t>
    </r>
  </si>
  <si>
    <t>Sektion 4.2 Subunternehmer 2 Einträge mehr!</t>
  </si>
  <si>
    <t>val.Sect4_2.external5.companyname</t>
  </si>
  <si>
    <t>val.Sect4_2.external5.address</t>
  </si>
  <si>
    <t>val.Sect4_2.external5.ContractOwn</t>
  </si>
  <si>
    <t>val.Sect4_2.external5.Revenue50plus</t>
  </si>
  <si>
    <t>val.Sect4_2.external6.companyname</t>
  </si>
  <si>
    <t>val.Sect4_2.external6.address</t>
  </si>
  <si>
    <t>val.Sect4_2.external6.ContractOwn</t>
  </si>
  <si>
    <t>val.Sect4_2.external6.Revenue50plus</t>
  </si>
  <si>
    <t>Werkbank / Eigen 5</t>
  </si>
  <si>
    <t>Airbusumsatz GE 50% 5</t>
  </si>
  <si>
    <t>Werkbank / Eigen 6</t>
  </si>
  <si>
    <t>Airbusumsatz GE 50% 6</t>
  </si>
  <si>
    <t>5. Due Diligence Fragen zu kritischen Ländern</t>
  </si>
  <si>
    <t>5. Due Diligence Questions (Prior Review Countries)</t>
  </si>
  <si>
    <t>label.section5.SanctionEmbargo.insured_contractor</t>
  </si>
  <si>
    <t>label.section5.SanctionEmbargo.insured_site</t>
  </si>
  <si>
    <t>label.section5.SanctionEmbargo.insured_subsidiary</t>
  </si>
  <si>
    <t>label.section5.SanctionEmbargo.exports</t>
  </si>
  <si>
    <t>val.Sect5.SeatInSanctionedCty.YESNO</t>
  </si>
  <si>
    <t>val.Sect5.RiskInSanctionedCty.YESNO</t>
  </si>
  <si>
    <t>val.Sect5.RelatedToSanctionedCty.YESNO</t>
  </si>
  <si>
    <t>val.Sect5.ExportsToSanctionedCty.YESNO</t>
  </si>
  <si>
    <t>val.Sect5.CtyListOfExportsToSanctionedCty.YESNO</t>
  </si>
  <si>
    <t>val.Sect5.CtyListOfExportsToSanctionedCty</t>
  </si>
  <si>
    <t>label.section5.SanctionEmbargo.exports_HINTcountries</t>
  </si>
  <si>
    <t>label.section5.SanctionEmbargo.exports_countries</t>
  </si>
  <si>
    <t>&lt;&lt; Please fill out the countries!</t>
  </si>
  <si>
    <t>&lt;&lt; Geben Sie die Länder ein!</t>
  </si>
  <si>
    <t>val.Sect6.StartOfInsurance</t>
  </si>
  <si>
    <t>val.Sect7.LimitOfIndemnity</t>
  </si>
  <si>
    <t>6. Versicherungsbeginn</t>
  </si>
  <si>
    <t>6. Inception date</t>
  </si>
  <si>
    <t>label.section6.CoverageStart</t>
  </si>
  <si>
    <t>label.section6.CoverageStart.Value</t>
  </si>
  <si>
    <t>label.section6.CoverageStart.hint</t>
  </si>
  <si>
    <t>label.section7.LimitOfIndemity</t>
  </si>
  <si>
    <t>label.section7.LimitOfIndemity.Hint1</t>
  </si>
  <si>
    <t>label.section7.LimitOfIndemity.Hint2</t>
  </si>
  <si>
    <t>7. Gewünschte Versicherungssumme</t>
  </si>
  <si>
    <t>7. Limit of indemnity</t>
  </si>
  <si>
    <t>val.Sect8_1.Aeronautics_military.Prod.AIRBUS.ROW</t>
  </si>
  <si>
    <t>val.Sect8_1.Aeronautics_military.Prod.AIRBUS.USCA</t>
  </si>
  <si>
    <t>val.Sect8_1.Aeronautics_military.Prod.nonAIRBUS.ROW</t>
  </si>
  <si>
    <t>val.Sect8_1.Aeronautics_military.Prod.nonAIRBUS.USCA</t>
  </si>
  <si>
    <t>val.Sect8_1.Aircraft_civil.Prod.AIRBUS.ROW</t>
  </si>
  <si>
    <t>val.Sect8_1.Aircraft_civil.Prod.AIRBUS.USCA</t>
  </si>
  <si>
    <t>val.Sect8_1.Aircraft_civil.Prod.nonAIRBUS.ROW</t>
  </si>
  <si>
    <t>val.Sect8_1.Aircraft_civil.Prod.nonAIRBUS.USCA</t>
  </si>
  <si>
    <t>val.Sect8_1.Aircraft_military.Prod.AIRBUS.ROW</t>
  </si>
  <si>
    <t>val.Sect8_1.Aircraft_military.Prod.AIRBUS.USCA</t>
  </si>
  <si>
    <t>val.Sect8_1.Aircraft_military.Prod.nonAIRBUS.ROW</t>
  </si>
  <si>
    <t>val.Sect8_1.Aircraft_military.Prod.nonAIRBUS.USCA</t>
  </si>
  <si>
    <t>val.Sect8_1.Helicopter_civil.Prod.AIRBUS.ROW</t>
  </si>
  <si>
    <t>val.Sect8_1.Helicopter_civil.Prod.AIRBUS.USCA</t>
  </si>
  <si>
    <t>val.Sect8_1.Helicopter_civil.Prod.nonAIRBUS.ROW</t>
  </si>
  <si>
    <t>val.Sect8_1.Helicopter_civil.Prod.nonAIRBUS.USCA</t>
  </si>
  <si>
    <t>val.Sect8_1.Helicopter_military.Prod.AIRBUS.ROW</t>
  </si>
  <si>
    <t>val.Sect8_1.Helicopter_military.Prod.AIRBUS.USCA</t>
  </si>
  <si>
    <t>val.Sect8_1.Helicopter_military.Prod.nonAIRBUS.ROW</t>
  </si>
  <si>
    <t>val.Sect8_1.Helicopter_military.Prod.nonAIRBUS.USCA</t>
  </si>
  <si>
    <t>val.Sect8_1.Space.Prod.AIRBUS.ROW</t>
  </si>
  <si>
    <t>val.Sect8_1.Space.Prod.AIRBUS.USCA</t>
  </si>
  <si>
    <t>val.Sect8_1.Space.Prod.nonAIRBUS.ROW</t>
  </si>
  <si>
    <t>val.Sect8_1.Space.Prod.nonAIRBUS.USCA</t>
  </si>
  <si>
    <t>val.Sect8_2.Aeronautics_civil.Svcs.AIRBUS.ROW</t>
  </si>
  <si>
    <t>val.Sect8_2.Aeronautics_civil.Svcs.AIRBUS.USCA</t>
  </si>
  <si>
    <t>val.Sect8_2.Aeronautics_civil.Svcs.nonAIRBUS.ROW</t>
  </si>
  <si>
    <t>val.Sect8_2.Aeronautics_civil.Svcs.nonAIRBUS.USCA</t>
  </si>
  <si>
    <t>val.Sect8_2.Aeronautics_military.Svcs.AIRBUS.ROW</t>
  </si>
  <si>
    <t>val.Sect8_2.Aeronautics_military.Svcs.AIRBUS.USCA</t>
  </si>
  <si>
    <t>val.Sect8_2.Aeronautics_military.Svcs.nonAIRBUS.ROW</t>
  </si>
  <si>
    <t>val.Sect8_2.Aeronautics_military.Svcs.nonAIRBUS.USCA</t>
  </si>
  <si>
    <t>val.Sect8_2.Aircraft_civil.Svcs.AIRBUS.ROW</t>
  </si>
  <si>
    <t>val.Sect8_2.Aircraft_civil.Svcs.AIRBUS.USCA</t>
  </si>
  <si>
    <t>val.Sect8_2.Aircraft_civil.Svcs.nonAIRBUS.ROW</t>
  </si>
  <si>
    <t>val.Sect8_2.Aircraft_civil.Svcs.nonAIRBUS.USCA</t>
  </si>
  <si>
    <t>val.Sect8_2.Aircraft_military.Svcs.AIRBUS.ROW</t>
  </si>
  <si>
    <t>val.Sect8_2.Aircraft_military.Svcs.AIRBUS.USCA</t>
  </si>
  <si>
    <t>val.Sect8_2.Aircraft_military.Svcs.nonAIRBUS.ROW</t>
  </si>
  <si>
    <t>val.Sect8_2.Aircraft_military.Svcs.nonAIRBUS.USCA</t>
  </si>
  <si>
    <t>val.Sect8_2.Helicopter_civil.Svcs.AIRBUS.ROW</t>
  </si>
  <si>
    <t>val.Sect8_2.Helicopter_civil.Svcs.AIRBUS.USCA</t>
  </si>
  <si>
    <t>val.Sect8_2.Helicopter_civil.Svcs.nonAIRBUS.ROW</t>
  </si>
  <si>
    <t>val.Sect8_2.Helicopter_civil.Svcs.nonAIRBUS.USCA</t>
  </si>
  <si>
    <t>val.Sect8_2.Helicopter_military.Svcs.AIRBUS.ROW</t>
  </si>
  <si>
    <t>val.Sect8_2.Helicopter_military.Svcs.AIRBUS.USCA</t>
  </si>
  <si>
    <t>val.Sect8_2.Helicopter_military.Svcs.nonAIRBUS.ROW</t>
  </si>
  <si>
    <t>val.Sect8_2.Helicopter_military.Svcs.nonAIRBUS.USCA</t>
  </si>
  <si>
    <t>val.Sect8_2.Space.Svcs.AIRBUS.ROW</t>
  </si>
  <si>
    <t>val.Sect8_2.Space.Svcs.AIRBUS.USCA</t>
  </si>
  <si>
    <t>val.Sect8_2.Space.Svcs.nonAIRBUS.ROW</t>
  </si>
  <si>
    <t>val.Sect8_2.Space.Svcs.nonAIRBUS.USCA</t>
  </si>
  <si>
    <t>val.Sect8_3.Aeronautics_civil.Labr.AIRBUS.ROW</t>
  </si>
  <si>
    <t>val.Sect8_3.Aeronautics_civil.Labr.AIRBUS.USCA</t>
  </si>
  <si>
    <t>val.Sect8_3.Aeronautics_civil.Labr.nonAIRBUS.ROW</t>
  </si>
  <si>
    <t>val.Sect8_3.Aeronautics_civil.Labr.nonAIRBUS.USCA</t>
  </si>
  <si>
    <t>val.Sect8_3.Aeronautics_military.Labr.AIRBUS.ROW</t>
  </si>
  <si>
    <t>val.Sect8_3.Aeronautics_military.Labr.AIRBUS.USCA</t>
  </si>
  <si>
    <t>val.Sect8_3.Aeronautics_military.Labr.nonAIRBUS.ROW</t>
  </si>
  <si>
    <t>val.Sect8_3.Aeronautics_military.Labr.nonAIRBUS.USCA</t>
  </si>
  <si>
    <t>val.Sect8_3.Aircraft_civil.Labr.AIRBUS.ROW</t>
  </si>
  <si>
    <t>val.Sect8_3.Aircraft_civil.Labr.AIRBUS.USCA</t>
  </si>
  <si>
    <t>val.Sect8_3.Aircraft_civil.Labr.nonAIRBUS.ROW</t>
  </si>
  <si>
    <t>val.Sect8_3.Aircraft_civil.Labr.nonAIRBUS.USCA</t>
  </si>
  <si>
    <t>val.Sect8_3.Aircraft_military.Labr.AIRBUS.ROW</t>
  </si>
  <si>
    <t>val.Sect8_3.Aircraft_military.Labr.AIRBUS.USCA</t>
  </si>
  <si>
    <t>val.Sect8_3.Aircraft_military.Labr.nonAIRBUS.ROW</t>
  </si>
  <si>
    <t>val.Sect8_3.Aircraft_military.Labr.nonAIRBUS.USCA</t>
  </si>
  <si>
    <t>val.Sect8_3.Helicopter_civil.Labr.AIRBUS.ROW</t>
  </si>
  <si>
    <t>val.Sect8_3.Helicopter_civil.Labr.AIRBUS.USCA</t>
  </si>
  <si>
    <t>val.Sect8_3.Helicopter_civil.Labr.nonAIRBUS.ROW</t>
  </si>
  <si>
    <t>val.Sect8_3.Helicopter_civil.Labr.nonAIRBUS.USCA</t>
  </si>
  <si>
    <t>val.Sect8_3.Helicopter_military.Labr.AIRBUS.ROW</t>
  </si>
  <si>
    <t>val.Sect8_3.Helicopter_military.Labr.AIRBUS.USCA</t>
  </si>
  <si>
    <t>val.Sect8_3.Helicopter_military.Labr.nonAIRBUS.ROW</t>
  </si>
  <si>
    <t>val.Sect8_3.Helicopter_military.Labr.nonAIRBUS.USCA</t>
  </si>
  <si>
    <t>val.Sect8_3.Space.Labr.AIRBUS.ROW</t>
  </si>
  <si>
    <t>val.Sect8_3.Space.Labr.AIRBUS.USCA</t>
  </si>
  <si>
    <t>val.Sect8_3.Space.Labr.nonAIRBUS.ROW</t>
  </si>
  <si>
    <t>val.Sect8_3.Space.Labr.nonAIRBUS.USCA</t>
  </si>
  <si>
    <t>val.Sect8_1.Aeronautics_civil.Prod.AIRBUS.ROW</t>
  </si>
  <si>
    <t>val.Sect8_1.Aeronautics_civil.Prod.AIRBUS.USCA</t>
  </si>
  <si>
    <t>val.Sect8_1.Aeronautics_civil.Prod.nonAIRBUS.ROW</t>
  </si>
  <si>
    <t>val.Sect8_1.Aeronautics_civil.Prod.nonAIRBUS.USCA</t>
  </si>
  <si>
    <t>label.section8.NetSalesCover</t>
  </si>
  <si>
    <t>label.section8.NetSalesCover.Hint1</t>
  </si>
  <si>
    <t>label.section8.NetSalesCover.Hint2</t>
  </si>
  <si>
    <t>label.section8.TABLES.Col02.Headline</t>
  </si>
  <si>
    <t>label.section8.TABLES.Col03.Headline</t>
  </si>
  <si>
    <t>label.section8.TABLES.Col04.Headline</t>
  </si>
  <si>
    <t>label.section8.TABLES.Col05.Headline</t>
  </si>
  <si>
    <t>label.section8.TABLES.Col06.Headline</t>
  </si>
  <si>
    <t>label.section8.TABLES.Col07.Headline</t>
  </si>
  <si>
    <t>label.section8.TABLES.Col08.Headline</t>
  </si>
  <si>
    <t>label.section8.TABLES.Col09.Headline</t>
  </si>
  <si>
    <t>label.section8.TABLES.Col10.Headline</t>
  </si>
  <si>
    <t>label.section8.TABLES.Col11.Headline</t>
  </si>
  <si>
    <t>label.section8.TABLES.Line1.Head</t>
  </si>
  <si>
    <t>label.section8.TABLES.Line2.Head</t>
  </si>
  <si>
    <t>label.section8.TABLES.Line3.Head</t>
  </si>
  <si>
    <t>label.section8.TABLES.Line4.Head</t>
  </si>
  <si>
    <t>label.section8.TABLES.Line5.Head</t>
  </si>
  <si>
    <t>label.section8.TABLES.Line6.Head</t>
  </si>
  <si>
    <t>label.section8.TABLES.Line7.Head</t>
  </si>
  <si>
    <t>label.section8.TABLES.Line8.Head</t>
  </si>
  <si>
    <t>label.section8_1.ManufacturingDistribution</t>
  </si>
  <si>
    <t>label.section8_1.ManufacturingDistribution.Col1.Headline</t>
  </si>
  <si>
    <t>label.section8_1.ManufacturingDistribution.AIRBUS</t>
  </si>
  <si>
    <t>label.section8_1.ManufacturingDistribution.Supplier</t>
  </si>
  <si>
    <t>label.section8_2.EngineerconstructionServices</t>
  </si>
  <si>
    <t>label.section8_2.EngineerconstructionServices.Col1.Headline</t>
  </si>
  <si>
    <t>label.section8_2.EngineerconstructionServices.AIRBUS</t>
  </si>
  <si>
    <t>label.section8_2.EngineerconstructionServices.Supplier</t>
  </si>
  <si>
    <t>label.section8_3.LabourLeasing</t>
  </si>
  <si>
    <t>label.section8_3.LabourLeasing.Col1.Headline</t>
  </si>
  <si>
    <t>label.section8_3.LabourLeasing.AIRBUS</t>
  </si>
  <si>
    <t>label.section8_3.LabourLeasing.Supplier</t>
  </si>
  <si>
    <t>8.1 Herstellung / Vertrieb von Teilen / Baugruppen für Luftfahrzeuge / Bearbeitung und Tätigkeiten an Luftfahrzeugen</t>
  </si>
  <si>
    <t>8.1 Manufacturing / distribution of parts / assembly for aircraft / work on aircrafts</t>
  </si>
  <si>
    <t>8.2. Ingenieurs-/Konstruktionsdienstleistungen / Software</t>
  </si>
  <si>
    <t>8.2. Engineering / construction services / Software</t>
  </si>
  <si>
    <t>8.3. Arbeitnehmerüberlassung (AÜ)</t>
  </si>
  <si>
    <t>8.3. Labour leasing</t>
  </si>
  <si>
    <t>label.section9.LocalInsurances</t>
  </si>
  <si>
    <t>9. Lokalpolicen: Luftfahrtprodukthaftpflichtversicherungen außerhalb der EU</t>
  </si>
  <si>
    <t>9. local policies: Aviation and Space product liability policies outside the EU</t>
  </si>
  <si>
    <t>label.section9.LocalInsurances.ExistingGE5M</t>
  </si>
  <si>
    <t>label.section9.LocalInsurances.ExistingConfirmations</t>
  </si>
  <si>
    <t>label.section9.LocalInsurances.RequestMoreInfo</t>
  </si>
  <si>
    <t>label.section9_1.LocalInsurances_Companies</t>
  </si>
  <si>
    <t>label.section9_1.LocalInsurances_Companies_ExtTurnOver</t>
  </si>
  <si>
    <t>External turnover in EUR</t>
  </si>
  <si>
    <t>Aussenumsatz in EUR</t>
  </si>
  <si>
    <t>val.Sect9_1.localpolicy1.companyname</t>
  </si>
  <si>
    <t>val.Sect9_1.localpolicy2.companyname</t>
  </si>
  <si>
    <t>val.Sect9_1.localpolicy3.companyname</t>
  </si>
  <si>
    <t>val.Sect9_1.localpolicy4.companyname</t>
  </si>
  <si>
    <t>val.Sect9_1.localpolicy1.companyaddress</t>
  </si>
  <si>
    <t>val.Sect9_1.localpolicy2.companyaddress</t>
  </si>
  <si>
    <t>val.Sect9_1.localpolicy3.companyaddress</t>
  </si>
  <si>
    <t>val.Sect9_1.localpolicy4.companyaddress</t>
  </si>
  <si>
    <t>val.Sect9_1.localpolicy1.companyemail</t>
  </si>
  <si>
    <t>val.Sect9_1.localpolicy2.companyemail</t>
  </si>
  <si>
    <t>val.Sect9_1.localpolicy3.companyemail</t>
  </si>
  <si>
    <t>val.Sect9_1.localpolicy4.companyemail</t>
  </si>
  <si>
    <t>val.Sect9_1.localpolicy1.companyextturnover</t>
  </si>
  <si>
    <t>val.Sect9_1.localpolicy2.companyextturnover</t>
  </si>
  <si>
    <t>val.Sect9_1.localpolicy3.companyextturnover</t>
  </si>
  <si>
    <t>val.Sect9_1.localpolicy4.companyextturnover</t>
  </si>
  <si>
    <t>val.Sect9.ExistingLocalPolGT_USD5M.YESNO</t>
  </si>
  <si>
    <t>val.Sect9_1.localpolicy5.companyname</t>
  </si>
  <si>
    <t>val.Sect9_1.localpolicy5.companyaddress</t>
  </si>
  <si>
    <t>val.Sect9_1.localpolicy5.companyemail</t>
  </si>
  <si>
    <t>val.Sect9_1.localpolicy5.companyextturnover</t>
  </si>
  <si>
    <t>val.Sect9_1.localpolicy6.companyname</t>
  </si>
  <si>
    <t>val.Sect9_1.localpolicy6.companyaddress</t>
  </si>
  <si>
    <t>val.Sect9_1.localpolicy6.companyemail</t>
  </si>
  <si>
    <t>val.Sect9_1.localpolicy6.companyextturnover</t>
  </si>
  <si>
    <t>Schaden-datum</t>
  </si>
  <si>
    <t>Schaden-aufwand</t>
  </si>
  <si>
    <t>Bitte wählen Sie die gewünschte Sprache / Please select the preferred language / S'il vous plaît choisir la langue:</t>
  </si>
  <si>
    <t>Sektion 10: 6 Zeilen</t>
  </si>
  <si>
    <t>Merci de retourner le questionnaire complété en format Excel à airbus.scheme@willistowerswatson.com</t>
  </si>
  <si>
    <t>Questionnaire assurance responsabilité civile produits aéronautiques</t>
  </si>
  <si>
    <t>destiné aux fournisseurs du groupe Airbus</t>
  </si>
  <si>
    <t>Merci d'avoir rempli ce questionnaire! S'il vous plaît envoyez-le sous forme de fichier EXCEL à nous!</t>
  </si>
  <si>
    <t>1. Sujet de l'offre</t>
  </si>
  <si>
    <t>Veuillez choisir le type de l'offre</t>
  </si>
  <si>
    <t>Nouveau contrat</t>
  </si>
  <si>
    <t>Prolongation du contrat</t>
  </si>
  <si>
    <t>Reprise de la production passée</t>
  </si>
  <si>
    <t>Prolongation du contrat non voulu</t>
  </si>
  <si>
    <t>2. Société Assurée</t>
  </si>
  <si>
    <t>Nom de la société:</t>
  </si>
  <si>
    <t>Rue:</t>
  </si>
  <si>
    <t>Code postal:</t>
  </si>
  <si>
    <t>Ville:</t>
  </si>
  <si>
    <t>Pays:</t>
  </si>
  <si>
    <t>Adresse postale:</t>
  </si>
  <si>
    <t>2.1 Contact (client ou agent/courtier)</t>
  </si>
  <si>
    <t>Type de contact:</t>
  </si>
  <si>
    <t>Agent/Courtier</t>
  </si>
  <si>
    <t>Autre</t>
  </si>
  <si>
    <t>Nom de famille:</t>
  </si>
  <si>
    <t>Prénom:</t>
  </si>
  <si>
    <t>Titre:</t>
  </si>
  <si>
    <t>Société (si différente de 2.):</t>
  </si>
  <si>
    <t>Téléphone:</t>
  </si>
  <si>
    <t>2.2 Adresse de facturation (si différente de 1.)</t>
  </si>
  <si>
    <t>Veuillez noter:</t>
  </si>
  <si>
    <t>4. Sociétés devant bénéficier de la qualité d'assuré au sein du programme</t>
  </si>
  <si>
    <t>Pour des sociétés domiciliés aux USA, le questionnaire TRIA doit être complété:</t>
  </si>
  <si>
    <t>Cliquez ici</t>
  </si>
  <si>
    <t>4.1 Filiales / Succursales devant bénéficier de la qualité d'assuré</t>
  </si>
  <si>
    <t>Adresse postale et pays:</t>
  </si>
  <si>
    <t>4.2 Sous-traitants devant bénéficier de la qualité d'assuré</t>
  </si>
  <si>
    <t>Atelier étendu / Spécification propre</t>
  </si>
  <si>
    <t>Spécification propre</t>
  </si>
  <si>
    <t xml:space="preserve">   Si oui, dans quels pays?</t>
  </si>
  <si>
    <t>5. Questions supplémentaires concernant des pays spécifiques</t>
  </si>
  <si>
    <t>Date d'inclusion:</t>
  </si>
  <si>
    <t>6. Période  d'assurance</t>
  </si>
  <si>
    <t>7. Montant de garantie assurée</t>
  </si>
  <si>
    <t>Période: Chiffre d'affaire aéronautique / spatial estimé pour la prochaine période d'assurance (15 octobre au 15 octobre suivant)</t>
  </si>
  <si>
    <t>Chiffres d'affaires Reste du monde</t>
  </si>
  <si>
    <t>Chiffre d'affaires USA / CAN</t>
  </si>
  <si>
    <t>Chiffre d'affaires estimé</t>
  </si>
  <si>
    <t>Avions civils</t>
  </si>
  <si>
    <t>Avions militaires</t>
  </si>
  <si>
    <t>Hélicoptères civils</t>
  </si>
  <si>
    <t>Hélicoptères militaires</t>
  </si>
  <si>
    <t>Autres équipements aéronautiques civils</t>
  </si>
  <si>
    <t>Autres équipements aéronautiques militaires</t>
  </si>
  <si>
    <t>Spatial</t>
  </si>
  <si>
    <t>Chiffre d'affaires total</t>
  </si>
  <si>
    <t>Fourniture de produits / équipement pour:</t>
  </si>
  <si>
    <t>** merci d'identifier les autres constructeurs auxquels vous livrez des produits</t>
  </si>
  <si>
    <t>Fourniture de services (Ingénierie / Logiciels)</t>
  </si>
  <si>
    <t>* merci d'identifier les compagnies du groupe Airbus (y compris les Tier 1 de Airbus) auxquelles vous fournissez des services:</t>
  </si>
  <si>
    <t>** merci d'identifier les autres constructeurs auxquels vous fournissez des services:</t>
  </si>
  <si>
    <t>Mise à disposition de personnel intérimaire</t>
  </si>
  <si>
    <t>* merci d'identifier les compagnies du groupe Airbus (y compris les Tier 1 de Airbus) auxquelles vous mettez à disposition du personnel:</t>
  </si>
  <si>
    <t>** merci d'identifier les autres constructeurs auxquels vous mettez à disposition du personnel:</t>
  </si>
  <si>
    <t>8. Zu versichernde Umsätze in EUR</t>
  </si>
  <si>
    <t>8. Net sales / revenue be covered (EUR)</t>
  </si>
  <si>
    <t>8. Chiffre d'affaires à assurer (EUR)</t>
  </si>
  <si>
    <t>8.1 Fourniture ou distribution de produits / équipement aéronautiques</t>
  </si>
  <si>
    <t>8.2. Fourniture de services (Ingénierie / Logiciels)</t>
  </si>
  <si>
    <t>8.3. Mise à disposition de personnel intérimaire</t>
  </si>
  <si>
    <t>Date du sinistre:</t>
  </si>
  <si>
    <t>Indemnisation:</t>
  </si>
  <si>
    <t>Réserves:</t>
  </si>
  <si>
    <t>10. Schadenverlauf der letzten 5 Jahre (nur bei Neuabschluss)</t>
  </si>
  <si>
    <t>10. Sinistralité 5 ans (pour nouveaux contrats seulement)</t>
  </si>
  <si>
    <t>label.section10.Claims</t>
  </si>
  <si>
    <t>We are interested in a quotation for local policies via WTW.</t>
  </si>
  <si>
    <t>Ich bin an einem Angebot zum Abschluss von Lokalpolicen über WTW interessiert.</t>
  </si>
  <si>
    <t>label.section5.SanctionEmbargo</t>
  </si>
  <si>
    <t>&lt;&lt; Veuillez entrer les pays!</t>
  </si>
  <si>
    <t>Wir möchten Sie bitten, den Fragebogen vollständig ausgefüllt zurückzusenden an airbus.scheme@willistowerswatson.com, auch wenn keine weitere Teilnahme am Zuliefererprogramm gewünscht wird.</t>
  </si>
  <si>
    <t>Chiffre d'affaire externe en EUR</t>
  </si>
  <si>
    <t>* merci d'identifier les compagnies du groupe Airbus (y compris les Tier 1 de groupe Airbus) auxquelles vous livrez des produits</t>
  </si>
  <si>
    <t>Bitte reichen Sie uns die aktuellen Versicherungsbestätigungen ein!</t>
  </si>
  <si>
    <t>** Please name the other manufacturers you sell / deliver to:</t>
  </si>
  <si>
    <t>Do Local policies exist with a minimum insured limit of USD 5 M</t>
  </si>
  <si>
    <t>10. Occurred claims in the last 5 years (for new contracts only)</t>
  </si>
  <si>
    <t>Please confirm if claims occurred in the last 5 years.</t>
  </si>
  <si>
    <t>9. Polices locales: Polices assurance responsabilité civile produits aéronautiques hors de l’UE</t>
  </si>
  <si>
    <t>Für Unternehmen außerhalb der EU ist die Angabe zu Lokalpolicen bei Ziffer 9 notwendig!</t>
  </si>
  <si>
    <t>For companies located outside the EU please answer questions regarding local policies (section 9)</t>
  </si>
  <si>
    <t>Umsatz mit dem versicherten Unternehmen in EUR</t>
  </si>
  <si>
    <t>Turnover with insured company in EUR</t>
  </si>
  <si>
    <t>Hat das versicherte Unternehmen / Antragssteller bzw. Mitversicherte einen Sitz im Iran, Syrien, Kuba, Russland, der Ukraine (Krim/Sewastopol), Nord Korea oder Venezuela oder ist Bürger in einem dieser Länder?</t>
  </si>
  <si>
    <t>Has the Insured Company/applicant or an Additional Insured a registered office or  a subsidiary in Iran, Syria, Cuba, Russia, Ukraine (Crimea/Sevastopol), North Korea or Venezuela or is he /are they citizen(s) of one of these countries?</t>
  </si>
  <si>
    <t>label.section8.Table.HeadlineAirbus</t>
  </si>
  <si>
    <t>label.section8.Table.HeadlineNonAirbus</t>
  </si>
  <si>
    <t>Airbus Konzern</t>
  </si>
  <si>
    <t>Airbus group</t>
  </si>
  <si>
    <t>Groupe Airbus</t>
  </si>
  <si>
    <t>Teilsumme</t>
  </si>
  <si>
    <t>Subtotal</t>
  </si>
  <si>
    <t>Sous-total</t>
  </si>
  <si>
    <t>Bestehen anderweitig abgeschlossene Versicherungspolicen mit einer Mindestversicherungssumme von 5 Mio. USD?</t>
  </si>
  <si>
    <t>Angaben zu Gesellschaften, für die Lokalpolicen abgeschlossen werden sollen</t>
  </si>
  <si>
    <t>3. Activités de l'entreprise</t>
  </si>
  <si>
    <t>Aucune offre ne peut être fournie pour:</t>
  </si>
  <si>
    <t>Des sociétés d’assistance sur aéroports, des fournisseurs d'equipment au sol.</t>
  </si>
  <si>
    <t>La couverture est possible exclusivement pour les fournisseurs Tier 1 et Tier 2.</t>
  </si>
  <si>
    <t>Activités de l'entreprise:</t>
  </si>
  <si>
    <t>Sous-traitance sans specification propre / Spécification propre</t>
  </si>
  <si>
    <t xml:space="preserve">Sous-traitance sans specification propre </t>
  </si>
  <si>
    <t>Est-ce que le risque à assurer (par ex. un site, activités de maintenance ou réparation, clients, contractants) se trouve dans un de ces pays mentionnés ci-dessus ou existe-t-il des contrats avec des personnes, sociétés ou institutions domiciliées dans un de ces pays?</t>
  </si>
  <si>
    <t xml:space="preserve">Est-ce que la société assurée est une filiale d'une société avec siège social dans un des pays mentionnés ci-dessus ou esst propriété d'une personne ou institution de ces pays? </t>
  </si>
  <si>
    <t>Est-ce qu'il y a des exportations (directes) connues dans un de ces pays mentionnés ci-dessus ou y a-t-il des intermédiaires de vente ou clients dans ces pays?</t>
  </si>
  <si>
    <t>Merci de choisir le montant assuré pour lequel vous souhaitez recevoir une offre:</t>
  </si>
  <si>
    <t>A noter: Pour chaque montant de garantie veuillez compléter un questionnaire pour recevoir des offres alternatives!</t>
  </si>
  <si>
    <t xml:space="preserve">Merci de compléter toutes les colonnes pertinentes pour garantir une offre ferme </t>
  </si>
  <si>
    <t>Existe-t-il des polices d'assurance locales pour un montant minimum de USD 5 Millions?</t>
  </si>
  <si>
    <t>(merci de nous adresser les certificats d'assurance en cours)</t>
  </si>
  <si>
    <t>Je suis intéressé par une offre pour mettre en place des polices locales via WTW.</t>
  </si>
  <si>
    <t>Merci de confirmer si des sinistres ont eu lieu au cours des 5 dernières années.</t>
  </si>
  <si>
    <t>Brève description du sinistre:</t>
  </si>
  <si>
    <t>* Bitte benennen Sie die Firmen des Airbus Konzerns (inkl. TIER 1 an Airbus Konzern), an die Ihr Unternehmen zuliefert:</t>
  </si>
  <si>
    <t>* Bitte benennen Sie die Firmen des Airbus Konzerns (inkl. TIER 1 an Airbus Konzern), für die Ihr Unternehmen eine Dienstleistung erbringt:</t>
  </si>
  <si>
    <t>* Bitte benennen Sie die Firmen des Airbus Konzerns (inkl. TIER 1 an Airbus Konzern), denen Ihr Unternehmen Arbeitskräfte stellt:</t>
  </si>
  <si>
    <t>* Please name the companies of Airbus group (incl. Tier1 to Airbus group) to which your company sells / delivers to:</t>
  </si>
  <si>
    <t>* Please name the companies of Airbus group (incl. Tier1 to Airbus group) to which your company delivers service to:</t>
  </si>
  <si>
    <t>* Please name the companies of Airbus group (incl. Tier1 to Airbus group) to which your company delivers workforce to:</t>
  </si>
  <si>
    <t>Andere Hersteller</t>
  </si>
  <si>
    <t>Other manufacturers</t>
  </si>
  <si>
    <t>Autre fabricants</t>
  </si>
  <si>
    <t>Details of companies for which local policies need to be placed.</t>
  </si>
  <si>
    <t>Pour les entreprises situées en dehors de l'UE, veuillez donner les informations pour les polices locales au point 9!</t>
  </si>
  <si>
    <t>CA effectué avec la société assurée en EUR</t>
  </si>
  <si>
    <t>Est-ce que la société assurée ou un assuré additionnel a un siège social ou une filiale en Iran, Syrie, Cuba, Russie, Ukraine (la Crimée, Sevastopol), Corée du Nord, ou Venezuela ou est-ce qu'il est / ils sont citoyens(s) d'un de ces pays?</t>
  </si>
  <si>
    <t>Détails des filiales/succursales pour lesquelles des polices assurance doivent être souscrites.</t>
  </si>
  <si>
    <t>A noter: La couverture finira toujours le 15.10. de chaque année!</t>
  </si>
  <si>
    <t>Note: In any case coverage will end on Oct., 15th, of every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</si>
</sst>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 &quot;kEUR&quot;"/>
    <numFmt numFmtId="166" formatCode="#,##0\ &quot;M&quot;"/>
  </numFmts>
  <fonts count="31" x14ac:knownFonts="1">
    <font>
      <sz val="10"/>
      <name val="Arial"/>
    </font>
    <font>
      <sz val="8"/>
      <name val="Arial"/>
      <family val="2"/>
    </font>
    <font>
      <sz val="10"/>
      <name val="Arial"/>
      <family val="2"/>
    </font>
    <font>
      <b/>
      <sz val="11"/>
      <name val="Arial"/>
      <family val="2"/>
    </font>
    <font>
      <b/>
      <sz val="14"/>
      <name val="Arial"/>
      <family val="2"/>
    </font>
    <font>
      <sz val="11"/>
      <name val="Arial"/>
      <family val="2"/>
    </font>
    <font>
      <b/>
      <i/>
      <sz val="11"/>
      <name val="Arial"/>
      <family val="2"/>
    </font>
    <font>
      <sz val="14"/>
      <name val="Arial"/>
      <family val="2"/>
    </font>
    <font>
      <sz val="11"/>
      <name val="Calibri"/>
      <family val="2"/>
    </font>
    <font>
      <b/>
      <sz val="16"/>
      <name val="Arial"/>
      <family val="2"/>
    </font>
    <font>
      <i/>
      <sz val="11"/>
      <name val="Arial"/>
      <family val="2"/>
    </font>
    <font>
      <b/>
      <i/>
      <sz val="8"/>
      <name val="Arial"/>
      <family val="2"/>
    </font>
    <font>
      <i/>
      <sz val="8"/>
      <name val="Arial"/>
      <family val="2"/>
    </font>
    <font>
      <b/>
      <sz val="10"/>
      <name val="Arial"/>
      <family val="2"/>
    </font>
    <font>
      <u/>
      <sz val="11"/>
      <color indexed="12"/>
      <name val="Arial"/>
      <family val="2"/>
    </font>
    <font>
      <b/>
      <sz val="8"/>
      <name val="Arial"/>
      <family val="2"/>
    </font>
    <font>
      <b/>
      <i/>
      <sz val="12"/>
      <name val="Arial"/>
      <family val="2"/>
    </font>
    <font>
      <b/>
      <sz val="12"/>
      <name val="Arial"/>
      <family val="2"/>
    </font>
    <font>
      <sz val="12"/>
      <name val="Arial"/>
      <family val="2"/>
    </font>
    <font>
      <strike/>
      <sz val="8"/>
      <name val="Arial"/>
      <family val="2"/>
    </font>
    <font>
      <u/>
      <sz val="8"/>
      <name val="Arial"/>
      <family val="2"/>
    </font>
    <font>
      <b/>
      <sz val="8"/>
      <color theme="1"/>
      <name val="Arial"/>
      <family val="2"/>
    </font>
    <font>
      <b/>
      <sz val="11"/>
      <color rgb="FFFF0000"/>
      <name val="Arial"/>
      <family val="2"/>
    </font>
    <font>
      <sz val="11"/>
      <color rgb="FFCCFFCC"/>
      <name val="Arial"/>
      <family val="2"/>
    </font>
    <font>
      <b/>
      <sz val="11"/>
      <color rgb="FFCCFFCC"/>
      <name val="Arial"/>
      <family val="2"/>
    </font>
    <font>
      <b/>
      <sz val="8"/>
      <color rgb="FFFF0000"/>
      <name val="Arial"/>
      <family val="2"/>
    </font>
    <font>
      <b/>
      <sz val="10"/>
      <color rgb="FF000000"/>
      <name val="Arial"/>
      <family val="2"/>
    </font>
    <font>
      <b/>
      <sz val="18"/>
      <name val="Arial"/>
      <family val="2"/>
    </font>
    <font>
      <b/>
      <sz val="10"/>
      <color rgb="FFFF0000"/>
      <name val="Arial"/>
      <family val="2"/>
    </font>
    <font>
      <sz val="10"/>
      <color theme="2" tint="-9.9978637043366805E-2"/>
      <name val="Arial"/>
      <family val="2"/>
    </font>
    <font>
      <b/>
      <sz val="9"/>
      <name val="Arial"/>
      <family val="2"/>
    </font>
  </fonts>
  <fills count="70">
    <fill>
      <patternFill patternType="none"/>
    </fill>
    <fill>
      <patternFill patternType="gray125"/>
    </fill>
    <fill>
      <patternFill patternType="solid">
        <fgColor rgb="FFFFFFFF"/>
        <bgColor indexed="64"/>
      </patternFill>
    </fill>
    <fill>
      <patternFill patternType="solid">
        <fgColor rgb="FFFFCCFF"/>
        <bgColor indexed="64"/>
      </patternFill>
    </fill>
    <fill>
      <patternFill patternType="solid">
        <fgColor rgb="FFFFCCCC"/>
        <bgColor indexed="64"/>
      </patternFill>
    </fill>
    <fill>
      <patternFill patternType="solid">
        <fgColor rgb="FFFFCC99"/>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CCECFF"/>
        <bgColor indexed="64"/>
      </patternFill>
    </fill>
    <fill>
      <patternFill patternType="solid">
        <fgColor rgb="FF000000"/>
        <bgColor indexed="64"/>
      </patternFill>
    </fill>
    <fill>
      <patternFill patternType="solid">
        <fgColor rgb="FFEEECE1"/>
        <bgColor indexed="64"/>
      </patternFill>
    </fill>
    <fill>
      <patternFill patternType="solid">
        <fgColor rgb="FF63666A"/>
        <bgColor indexed="64"/>
      </patternFill>
    </fill>
    <fill>
      <patternFill patternType="solid">
        <fgColor rgb="FF702082"/>
        <bgColor indexed="64"/>
      </patternFill>
    </fill>
    <fill>
      <patternFill patternType="solid">
        <fgColor rgb="FFFFB81C"/>
        <bgColor indexed="64"/>
      </patternFill>
    </fill>
    <fill>
      <patternFill patternType="solid">
        <fgColor rgb="FF00A0D2"/>
        <bgColor indexed="64"/>
      </patternFill>
    </fill>
    <fill>
      <patternFill patternType="solid">
        <fgColor rgb="FFC110A0"/>
        <bgColor indexed="64"/>
      </patternFill>
    </fill>
    <fill>
      <patternFill patternType="solid">
        <fgColor rgb="FF00C389"/>
        <bgColor indexed="64"/>
      </patternFill>
    </fill>
    <fill>
      <patternFill patternType="solid">
        <fgColor rgb="FFF2F2F2"/>
        <bgColor indexed="64"/>
      </patternFill>
    </fill>
    <fill>
      <patternFill patternType="solid">
        <fgColor rgb="FF808080"/>
        <bgColor indexed="64"/>
      </patternFill>
    </fill>
    <fill>
      <patternFill patternType="solid">
        <fgColor rgb="FFDDD9C4"/>
        <bgColor indexed="64"/>
      </patternFill>
    </fill>
    <fill>
      <patternFill patternType="solid">
        <fgColor rgb="FFDFE0E1"/>
        <bgColor indexed="64"/>
      </patternFill>
    </fill>
    <fill>
      <patternFill patternType="solid">
        <fgColor rgb="FFEAC7F1"/>
        <bgColor indexed="64"/>
      </patternFill>
    </fill>
    <fill>
      <patternFill patternType="solid">
        <fgColor rgb="FFFFF0D0"/>
        <bgColor indexed="64"/>
      </patternFill>
    </fill>
    <fill>
      <patternFill patternType="solid">
        <fgColor rgb="FFC1F0FF"/>
        <bgColor indexed="64"/>
      </patternFill>
    </fill>
    <fill>
      <patternFill patternType="solid">
        <fgColor rgb="FFFBC6F1"/>
        <bgColor indexed="64"/>
      </patternFill>
    </fill>
    <fill>
      <patternFill patternType="solid">
        <fgColor rgb="FFBFFFEC"/>
        <bgColor indexed="64"/>
      </patternFill>
    </fill>
    <fill>
      <patternFill patternType="solid">
        <fgColor rgb="FFD9D9D9"/>
        <bgColor indexed="64"/>
      </patternFill>
    </fill>
    <fill>
      <patternFill patternType="solid">
        <fgColor rgb="FF595959"/>
        <bgColor indexed="64"/>
      </patternFill>
    </fill>
    <fill>
      <patternFill patternType="solid">
        <fgColor rgb="FFC4BD97"/>
        <bgColor indexed="64"/>
      </patternFill>
    </fill>
    <fill>
      <patternFill patternType="solid">
        <fgColor rgb="FFBFC1C4"/>
        <bgColor indexed="64"/>
      </patternFill>
    </fill>
    <fill>
      <patternFill patternType="solid">
        <fgColor rgb="FFD58EE3"/>
        <bgColor indexed="64"/>
      </patternFill>
    </fill>
    <fill>
      <patternFill patternType="solid">
        <fgColor rgb="FFFFE1A4"/>
        <bgColor indexed="64"/>
      </patternFill>
    </fill>
    <fill>
      <patternFill patternType="solid">
        <fgColor rgb="FF86E1FF"/>
        <bgColor indexed="64"/>
      </patternFill>
    </fill>
    <fill>
      <patternFill patternType="solid">
        <fgColor rgb="FFF58FE3"/>
        <bgColor indexed="64"/>
      </patternFill>
    </fill>
    <fill>
      <patternFill patternType="solid">
        <fgColor rgb="FF80FFD9"/>
        <bgColor indexed="64"/>
      </patternFill>
    </fill>
    <fill>
      <patternFill patternType="solid">
        <fgColor rgb="FFBFBFBF"/>
        <bgColor indexed="64"/>
      </patternFill>
    </fill>
    <fill>
      <patternFill patternType="solid">
        <fgColor rgb="FF404040"/>
        <bgColor indexed="64"/>
      </patternFill>
    </fill>
    <fill>
      <patternFill patternType="solid">
        <fgColor rgb="FF948A54"/>
        <bgColor indexed="64"/>
      </patternFill>
    </fill>
    <fill>
      <patternFill patternType="solid">
        <fgColor rgb="FF9FA3A6"/>
        <bgColor indexed="64"/>
      </patternFill>
    </fill>
    <fill>
      <patternFill patternType="solid">
        <fgColor rgb="FFBF56D6"/>
        <bgColor indexed="64"/>
      </patternFill>
    </fill>
    <fill>
      <patternFill patternType="solid">
        <fgColor rgb="FFFFD275"/>
        <bgColor indexed="64"/>
      </patternFill>
    </fill>
    <fill>
      <patternFill patternType="solid">
        <fgColor rgb="FF4AD2FF"/>
        <bgColor indexed="64"/>
      </patternFill>
    </fill>
    <fill>
      <patternFill patternType="solid">
        <fgColor rgb="FFF156D6"/>
        <bgColor indexed="64"/>
      </patternFill>
    </fill>
    <fill>
      <patternFill patternType="solid">
        <fgColor rgb="FF42FFC7"/>
        <bgColor indexed="64"/>
      </patternFill>
    </fill>
    <fill>
      <patternFill patternType="solid">
        <fgColor rgb="FFA6A6A6"/>
        <bgColor indexed="64"/>
      </patternFill>
    </fill>
    <fill>
      <patternFill patternType="solid">
        <fgColor rgb="FF262626"/>
        <bgColor indexed="64"/>
      </patternFill>
    </fill>
    <fill>
      <patternFill patternType="solid">
        <fgColor rgb="FF494529"/>
        <bgColor indexed="64"/>
      </patternFill>
    </fill>
    <fill>
      <patternFill patternType="solid">
        <fgColor rgb="FF4A4D4F"/>
        <bgColor indexed="64"/>
      </patternFill>
    </fill>
    <fill>
      <patternFill patternType="solid">
        <fgColor rgb="FF541861"/>
        <bgColor indexed="64"/>
      </patternFill>
    </fill>
    <fill>
      <patternFill patternType="solid">
        <fgColor rgb="FFD28E00"/>
        <bgColor indexed="64"/>
      </patternFill>
    </fill>
    <fill>
      <patternFill patternType="solid">
        <fgColor rgb="FF00769D"/>
        <bgColor indexed="64"/>
      </patternFill>
    </fill>
    <fill>
      <patternFill patternType="solid">
        <fgColor rgb="FF8F0C78"/>
        <bgColor indexed="64"/>
      </patternFill>
    </fill>
    <fill>
      <patternFill patternType="solid">
        <fgColor rgb="FF009367"/>
        <bgColor indexed="64"/>
      </patternFill>
    </fill>
    <fill>
      <patternFill patternType="solid">
        <fgColor rgb="FF0D0D0D"/>
        <bgColor indexed="64"/>
      </patternFill>
    </fill>
    <fill>
      <patternFill patternType="solid">
        <fgColor rgb="FF1D1B10"/>
        <bgColor indexed="64"/>
      </patternFill>
    </fill>
    <fill>
      <patternFill patternType="solid">
        <fgColor rgb="FF313335"/>
        <bgColor indexed="64"/>
      </patternFill>
    </fill>
    <fill>
      <patternFill patternType="solid">
        <fgColor rgb="FF381041"/>
        <bgColor indexed="64"/>
      </patternFill>
    </fill>
    <fill>
      <patternFill patternType="solid">
        <fgColor rgb="FF8C5F00"/>
        <bgColor indexed="64"/>
      </patternFill>
    </fill>
    <fill>
      <patternFill patternType="solid">
        <fgColor rgb="FF004F68"/>
        <bgColor indexed="64"/>
      </patternFill>
    </fill>
    <fill>
      <patternFill patternType="solid">
        <fgColor rgb="FF600951"/>
        <bgColor indexed="64"/>
      </patternFill>
    </fill>
    <fill>
      <patternFill patternType="solid">
        <fgColor rgb="FF006244"/>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FFFEC"/>
        <bgColor auto="1"/>
      </patternFill>
    </fill>
    <fill>
      <patternFill patternType="solid">
        <fgColor indexed="65"/>
        <bgColor auto="1"/>
      </patternFill>
    </fill>
    <fill>
      <patternFill patternType="solid">
        <fgColor rgb="FFFFE1A4"/>
        <bgColor auto="1"/>
      </patternFill>
    </fill>
  </fills>
  <borders count="5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thin">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FF00FF"/>
      </left>
      <right style="thick">
        <color rgb="FFFF00FF"/>
      </right>
      <top style="thick">
        <color rgb="FFFF00FF"/>
      </top>
      <bottom/>
      <diagonal/>
    </border>
    <border>
      <left style="thick">
        <color rgb="FFFF00FF"/>
      </left>
      <right style="thick">
        <color rgb="FFFF00FF"/>
      </right>
      <top/>
      <bottom/>
      <diagonal/>
    </border>
    <border>
      <left style="thick">
        <color rgb="FFFF00FF"/>
      </left>
      <right style="thick">
        <color rgb="FFFF00FF"/>
      </right>
      <top/>
      <bottom style="thick">
        <color rgb="FFFF00FF"/>
      </bottom>
      <diagonal/>
    </border>
    <border>
      <left/>
      <right style="thick">
        <color rgb="FFBFFFEC"/>
      </right>
      <top/>
      <bottom/>
      <diagonal/>
    </border>
  </borders>
  <cellStyleXfs count="3">
    <xf numFmtId="0" fontId="0" fillId="0" borderId="0"/>
    <xf numFmtId="0" fontId="14" fillId="0" borderId="0" applyNumberFormat="0" applyFill="0" applyBorder="0" applyAlignment="0" applyProtection="0">
      <alignment vertical="top"/>
      <protection locked="0"/>
    </xf>
    <xf numFmtId="0" fontId="2" fillId="0" borderId="0"/>
  </cellStyleXfs>
  <cellXfs count="295">
    <xf numFmtId="0" fontId="0" fillId="0" borderId="0" xfId="0"/>
    <xf numFmtId="0" fontId="0" fillId="0" borderId="0" xfId="0" applyAlignment="1">
      <alignment wrapText="1"/>
    </xf>
    <xf numFmtId="0" fontId="0" fillId="0" borderId="0" xfId="0" applyAlignment="1">
      <alignment vertical="top" wrapText="1"/>
    </xf>
    <xf numFmtId="0" fontId="5" fillId="0" borderId="0" xfId="0" applyFont="1"/>
    <xf numFmtId="0" fontId="0" fillId="0" borderId="0" xfId="0" applyAlignment="1">
      <alignment vertical="top"/>
    </xf>
    <xf numFmtId="0" fontId="0" fillId="0" borderId="0" xfId="0" applyBorder="1"/>
    <xf numFmtId="0" fontId="2" fillId="0" borderId="0" xfId="0" applyFont="1" applyAlignment="1">
      <alignment horizontal="left" vertical="top" wrapText="1" readingOrder="1"/>
    </xf>
    <xf numFmtId="0" fontId="0" fillId="2" borderId="0" xfId="0" applyFill="1"/>
    <xf numFmtId="0" fontId="0" fillId="3" borderId="0" xfId="0" applyFill="1"/>
    <xf numFmtId="0" fontId="21" fillId="0" borderId="0" xfId="0" applyFont="1"/>
    <xf numFmtId="0" fontId="0" fillId="4" borderId="0" xfId="0" applyFill="1"/>
    <xf numFmtId="0" fontId="0" fillId="0" borderId="0" xfId="0" applyAlignment="1">
      <alignment horizontal="right"/>
    </xf>
    <xf numFmtId="0" fontId="0" fillId="0" borderId="1" xfId="0" applyBorder="1"/>
    <xf numFmtId="0" fontId="0" fillId="5" borderId="0" xfId="0" applyFill="1"/>
    <xf numFmtId="0" fontId="0" fillId="0" borderId="2" xfId="0" applyBorder="1"/>
    <xf numFmtId="0" fontId="0" fillId="6" borderId="0" xfId="0" applyFill="1"/>
    <xf numFmtId="0" fontId="0" fillId="7" borderId="0" xfId="0" applyFill="1"/>
    <xf numFmtId="0" fontId="0" fillId="8" borderId="0" xfId="0" applyFill="1"/>
    <xf numFmtId="0" fontId="0" fillId="9" borderId="0" xfId="0" applyFill="1"/>
    <xf numFmtId="0" fontId="0" fillId="0" borderId="3" xfId="0" applyBorder="1"/>
    <xf numFmtId="0" fontId="0" fillId="2" borderId="4" xfId="0" applyFill="1" applyBorder="1"/>
    <xf numFmtId="0" fontId="0" fillId="10" borderId="5" xfId="0" applyFill="1" applyBorder="1"/>
    <xf numFmtId="0" fontId="0" fillId="11" borderId="5" xfId="0" applyFill="1" applyBorder="1"/>
    <xf numFmtId="0" fontId="0" fillId="12" borderId="5" xfId="0" applyFill="1" applyBorder="1"/>
    <xf numFmtId="0" fontId="0" fillId="13" borderId="5" xfId="0" applyFill="1" applyBorder="1"/>
    <xf numFmtId="0" fontId="0" fillId="14" borderId="5" xfId="0" applyFill="1" applyBorder="1"/>
    <xf numFmtId="0" fontId="0" fillId="15" borderId="5" xfId="0" applyFill="1" applyBorder="1"/>
    <xf numFmtId="0" fontId="0" fillId="16" borderId="5" xfId="0" applyFill="1" applyBorder="1"/>
    <xf numFmtId="0" fontId="0" fillId="17" borderId="5" xfId="0" applyFill="1" applyBorder="1"/>
    <xf numFmtId="0" fontId="0" fillId="12" borderId="6" xfId="0" applyFill="1" applyBorder="1"/>
    <xf numFmtId="0" fontId="0" fillId="18" borderId="4" xfId="0" applyFill="1" applyBorder="1"/>
    <xf numFmtId="0" fontId="0" fillId="19" borderId="5" xfId="0" applyFill="1" applyBorder="1"/>
    <xf numFmtId="0" fontId="0" fillId="20" borderId="5" xfId="0" applyFill="1" applyBorder="1"/>
    <xf numFmtId="0" fontId="0" fillId="21" borderId="5" xfId="0" applyFill="1" applyBorder="1"/>
    <xf numFmtId="0" fontId="0" fillId="22" borderId="5" xfId="0" applyFill="1" applyBorder="1"/>
    <xf numFmtId="0" fontId="0" fillId="23" borderId="5" xfId="0" applyFill="1" applyBorder="1"/>
    <xf numFmtId="0" fontId="0" fillId="24" borderId="5" xfId="0" applyFill="1" applyBorder="1"/>
    <xf numFmtId="0" fontId="0" fillId="25" borderId="5" xfId="0" applyFill="1" applyBorder="1"/>
    <xf numFmtId="0" fontId="0" fillId="26" borderId="5" xfId="0" applyFill="1" applyBorder="1"/>
    <xf numFmtId="0" fontId="0" fillId="21" borderId="6" xfId="0" applyFill="1" applyBorder="1"/>
    <xf numFmtId="0" fontId="0" fillId="27" borderId="4" xfId="0" applyFill="1" applyBorder="1"/>
    <xf numFmtId="0" fontId="0" fillId="28" borderId="5" xfId="0" applyFill="1" applyBorder="1"/>
    <xf numFmtId="0" fontId="0" fillId="29" borderId="5" xfId="0" applyFill="1" applyBorder="1"/>
    <xf numFmtId="0" fontId="0" fillId="30" borderId="5" xfId="0" applyFill="1" applyBorder="1"/>
    <xf numFmtId="0" fontId="0" fillId="31" borderId="5" xfId="0" applyFill="1" applyBorder="1"/>
    <xf numFmtId="0" fontId="0" fillId="32" borderId="5" xfId="0" applyFill="1" applyBorder="1"/>
    <xf numFmtId="0" fontId="0" fillId="33" borderId="5" xfId="0" applyFill="1" applyBorder="1"/>
    <xf numFmtId="0" fontId="0" fillId="34" borderId="5" xfId="0" applyFill="1" applyBorder="1"/>
    <xf numFmtId="0" fontId="0" fillId="35" borderId="5" xfId="0" applyFill="1" applyBorder="1"/>
    <xf numFmtId="0" fontId="0" fillId="30" borderId="6" xfId="0" applyFill="1" applyBorder="1"/>
    <xf numFmtId="0" fontId="0" fillId="36" borderId="4" xfId="0" applyFill="1" applyBorder="1"/>
    <xf numFmtId="0" fontId="0" fillId="37" borderId="5" xfId="0" applyFill="1" applyBorder="1"/>
    <xf numFmtId="0" fontId="0" fillId="38" borderId="5" xfId="0" applyFill="1" applyBorder="1"/>
    <xf numFmtId="0" fontId="0" fillId="39" borderId="5" xfId="0" applyFill="1" applyBorder="1"/>
    <xf numFmtId="0" fontId="0" fillId="40" borderId="5" xfId="0" applyFill="1" applyBorder="1"/>
    <xf numFmtId="0" fontId="0" fillId="41" borderId="5" xfId="0" applyFill="1" applyBorder="1"/>
    <xf numFmtId="0" fontId="0" fillId="42" borderId="5" xfId="0" applyFill="1" applyBorder="1"/>
    <xf numFmtId="0" fontId="0" fillId="43" borderId="5" xfId="0" applyFill="1" applyBorder="1"/>
    <xf numFmtId="0" fontId="0" fillId="44" borderId="5" xfId="0" applyFill="1" applyBorder="1"/>
    <xf numFmtId="0" fontId="0" fillId="39" borderId="6" xfId="0" applyFill="1" applyBorder="1"/>
    <xf numFmtId="0" fontId="0" fillId="45" borderId="4" xfId="0" applyFill="1" applyBorder="1"/>
    <xf numFmtId="0" fontId="0" fillId="46" borderId="5" xfId="0" applyFill="1" applyBorder="1"/>
    <xf numFmtId="0" fontId="0" fillId="47" borderId="5" xfId="0" applyFill="1" applyBorder="1"/>
    <xf numFmtId="0" fontId="0" fillId="48" borderId="5" xfId="0" applyFill="1" applyBorder="1"/>
    <xf numFmtId="0" fontId="0" fillId="49" borderId="5" xfId="0" applyFill="1" applyBorder="1"/>
    <xf numFmtId="0" fontId="0" fillId="50" borderId="5" xfId="0" applyFill="1" applyBorder="1"/>
    <xf numFmtId="0" fontId="0" fillId="51" borderId="5" xfId="0" applyFill="1" applyBorder="1"/>
    <xf numFmtId="0" fontId="0" fillId="52" borderId="5" xfId="0" applyFill="1" applyBorder="1"/>
    <xf numFmtId="0" fontId="0" fillId="53" borderId="5" xfId="0" applyFill="1" applyBorder="1"/>
    <xf numFmtId="0" fontId="0" fillId="48" borderId="6" xfId="0" applyFill="1" applyBorder="1"/>
    <xf numFmtId="0" fontId="0" fillId="19" borderId="4" xfId="0" applyFill="1" applyBorder="1"/>
    <xf numFmtId="0" fontId="0" fillId="54" borderId="5" xfId="0" applyFill="1" applyBorder="1"/>
    <xf numFmtId="0" fontId="0" fillId="55" borderId="5" xfId="0" applyFill="1" applyBorder="1"/>
    <xf numFmtId="0" fontId="0" fillId="56" borderId="5" xfId="0" applyFill="1" applyBorder="1"/>
    <xf numFmtId="0" fontId="0" fillId="57" borderId="5" xfId="0" applyFill="1" applyBorder="1"/>
    <xf numFmtId="0" fontId="0" fillId="58" borderId="5" xfId="0" applyFill="1" applyBorder="1"/>
    <xf numFmtId="0" fontId="0" fillId="59" borderId="5" xfId="0" applyFill="1" applyBorder="1"/>
    <xf numFmtId="0" fontId="0" fillId="60" borderId="5" xfId="0" applyFill="1" applyBorder="1"/>
    <xf numFmtId="0" fontId="0" fillId="61" borderId="5" xfId="0" applyFill="1" applyBorder="1"/>
    <xf numFmtId="0" fontId="0" fillId="56" borderId="6" xfId="0" applyFill="1" applyBorder="1"/>
    <xf numFmtId="0" fontId="0" fillId="0" borderId="0" xfId="0" applyFill="1"/>
    <xf numFmtId="0" fontId="0" fillId="26" borderId="0" xfId="0" applyFill="1"/>
    <xf numFmtId="0" fontId="4" fillId="26" borderId="0" xfId="0" applyFont="1" applyFill="1" applyAlignment="1">
      <alignment vertical="center"/>
    </xf>
    <xf numFmtId="0" fontId="7" fillId="26" borderId="0" xfId="0" applyFont="1" applyFill="1" applyAlignment="1">
      <alignment vertical="center"/>
    </xf>
    <xf numFmtId="0" fontId="0" fillId="26" borderId="0" xfId="0" applyFill="1" applyAlignment="1">
      <alignment vertical="center"/>
    </xf>
    <xf numFmtId="0" fontId="3" fillId="32" borderId="0" xfId="0" applyFont="1" applyFill="1" applyAlignment="1">
      <alignment vertical="center"/>
    </xf>
    <xf numFmtId="0" fontId="9" fillId="26" borderId="0" xfId="0" applyFont="1" applyFill="1" applyAlignment="1">
      <alignment vertical="center"/>
    </xf>
    <xf numFmtId="0" fontId="5" fillId="26" borderId="0" xfId="0" applyFont="1" applyFill="1"/>
    <xf numFmtId="0" fontId="6" fillId="26" borderId="0" xfId="0" applyFont="1" applyFill="1" applyAlignment="1">
      <alignment vertical="center"/>
    </xf>
    <xf numFmtId="0" fontId="5" fillId="26" borderId="0" xfId="0" applyFont="1" applyFill="1" applyAlignment="1">
      <alignment vertical="center"/>
    </xf>
    <xf numFmtId="0" fontId="5" fillId="26" borderId="0" xfId="0" applyFont="1" applyFill="1" applyBorder="1" applyAlignment="1">
      <alignment vertical="center"/>
    </xf>
    <xf numFmtId="0" fontId="5" fillId="32" borderId="0" xfId="0" applyFont="1" applyFill="1" applyAlignment="1">
      <alignment vertical="center"/>
    </xf>
    <xf numFmtId="0" fontId="5" fillId="26" borderId="0" xfId="0" applyFont="1" applyFill="1" applyAlignment="1">
      <alignment vertical="top"/>
    </xf>
    <xf numFmtId="0" fontId="5" fillId="0" borderId="0" xfId="0" applyFont="1" applyAlignment="1">
      <alignment vertical="top"/>
    </xf>
    <xf numFmtId="0" fontId="5" fillId="26" borderId="0" xfId="0" applyFont="1" applyFill="1" applyAlignment="1">
      <alignment wrapText="1"/>
    </xf>
    <xf numFmtId="0" fontId="3" fillId="26" borderId="0" xfId="0" applyFont="1" applyFill="1" applyAlignment="1">
      <alignment wrapText="1"/>
    </xf>
    <xf numFmtId="0" fontId="5" fillId="26" borderId="0" xfId="0" applyFont="1" applyFill="1" applyAlignment="1">
      <alignment horizontal="left" vertical="top" wrapText="1" readingOrder="1"/>
    </xf>
    <xf numFmtId="0" fontId="5" fillId="26" borderId="0" xfId="0" applyFont="1" applyFill="1" applyBorder="1" applyAlignment="1">
      <alignment horizontal="left" vertical="center"/>
    </xf>
    <xf numFmtId="0" fontId="8" fillId="26" borderId="0" xfId="0" applyFont="1" applyFill="1" applyAlignment="1">
      <alignment vertical="center"/>
    </xf>
    <xf numFmtId="0" fontId="1" fillId="0" borderId="0" xfId="0" applyFont="1"/>
    <xf numFmtId="0" fontId="11" fillId="0" borderId="0" xfId="0" applyFont="1"/>
    <xf numFmtId="0" fontId="1" fillId="20" borderId="0" xfId="0" applyFont="1" applyFill="1"/>
    <xf numFmtId="0" fontId="1" fillId="26" borderId="0" xfId="0" applyFont="1" applyFill="1"/>
    <xf numFmtId="0" fontId="12" fillId="0" borderId="0" xfId="0" applyFont="1"/>
    <xf numFmtId="0" fontId="1" fillId="32" borderId="0" xfId="0" applyFont="1" applyFill="1"/>
    <xf numFmtId="0" fontId="12" fillId="32" borderId="0" xfId="0" applyFont="1" applyFill="1"/>
    <xf numFmtId="0" fontId="6" fillId="26" borderId="0" xfId="0" applyFont="1" applyFill="1" applyBorder="1" applyAlignment="1">
      <alignment vertical="center"/>
    </xf>
    <xf numFmtId="0" fontId="3" fillId="32" borderId="0" xfId="0" applyFont="1" applyFill="1" applyBorder="1" applyAlignment="1">
      <alignment vertical="center"/>
    </xf>
    <xf numFmtId="0" fontId="5" fillId="32" borderId="0" xfId="0" applyFont="1" applyFill="1" applyBorder="1" applyAlignment="1">
      <alignment vertical="center"/>
    </xf>
    <xf numFmtId="0" fontId="5" fillId="26" borderId="0" xfId="0" applyFont="1" applyFill="1" applyBorder="1" applyAlignment="1">
      <alignment vertical="center" wrapText="1"/>
    </xf>
    <xf numFmtId="0" fontId="5"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0" xfId="0" applyFont="1" applyFill="1" applyBorder="1" applyAlignment="1">
      <alignment horizontal="left" vertical="center"/>
    </xf>
    <xf numFmtId="0" fontId="15" fillId="26" borderId="0" xfId="0" applyFont="1" applyFill="1" applyBorder="1" applyAlignment="1">
      <alignment horizontal="left" vertical="center" wrapText="1"/>
    </xf>
    <xf numFmtId="0" fontId="22" fillId="32" borderId="0" xfId="0" applyFont="1" applyFill="1" applyAlignment="1">
      <alignment horizontal="right" vertical="center"/>
    </xf>
    <xf numFmtId="0" fontId="5" fillId="26" borderId="0" xfId="0" applyFont="1" applyFill="1" applyAlignment="1"/>
    <xf numFmtId="0" fontId="22" fillId="26" borderId="0" xfId="0" applyFont="1" applyFill="1" applyAlignment="1">
      <alignment horizontal="right" vertical="center"/>
    </xf>
    <xf numFmtId="0" fontId="5" fillId="35" borderId="0" xfId="0" applyFont="1" applyFill="1" applyBorder="1" applyAlignment="1">
      <alignment horizontal="left" vertical="center" wrapText="1"/>
    </xf>
    <xf numFmtId="0" fontId="3" fillId="26" borderId="0" xfId="0" applyFont="1" applyFill="1" applyBorder="1" applyAlignment="1">
      <alignment vertical="center"/>
    </xf>
    <xf numFmtId="0" fontId="5" fillId="26" borderId="0" xfId="0" applyFont="1" applyFill="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7" fillId="26" borderId="0" xfId="0" applyFont="1" applyFill="1" applyBorder="1" applyAlignment="1">
      <alignment horizontal="left" vertical="center"/>
    </xf>
    <xf numFmtId="0" fontId="17" fillId="26" borderId="0" xfId="0" applyFont="1" applyFill="1" applyBorder="1" applyAlignment="1">
      <alignment horizontal="right" vertical="center"/>
    </xf>
    <xf numFmtId="0" fontId="19" fillId="0" borderId="0" xfId="0" applyFont="1"/>
    <xf numFmtId="0" fontId="20" fillId="0" borderId="0" xfId="0" applyFont="1"/>
    <xf numFmtId="0" fontId="15" fillId="62" borderId="0" xfId="0" applyFont="1" applyFill="1" applyBorder="1" applyAlignment="1">
      <alignment horizontal="center" vertical="center"/>
    </xf>
    <xf numFmtId="0" fontId="15" fillId="62" borderId="0" xfId="0" applyFont="1" applyFill="1" applyBorder="1" applyAlignment="1">
      <alignment horizontal="center" vertical="center" wrapText="1"/>
    </xf>
    <xf numFmtId="0" fontId="3" fillId="26" borderId="7" xfId="0" applyFont="1" applyFill="1" applyBorder="1" applyAlignment="1">
      <alignment horizontal="center" vertical="center" wrapText="1"/>
    </xf>
    <xf numFmtId="0" fontId="3" fillId="35" borderId="8" xfId="0" applyFont="1" applyFill="1" applyBorder="1" applyAlignment="1">
      <alignment vertical="center" wrapText="1"/>
    </xf>
    <xf numFmtId="0" fontId="5" fillId="26" borderId="10" xfId="0" applyFont="1" applyFill="1" applyBorder="1" applyAlignment="1"/>
    <xf numFmtId="0" fontId="5" fillId="26" borderId="11" xfId="0" applyFont="1" applyFill="1" applyBorder="1" applyAlignment="1">
      <alignment vertical="center"/>
    </xf>
    <xf numFmtId="0" fontId="3" fillId="35" borderId="8" xfId="0" applyFont="1" applyFill="1" applyBorder="1" applyAlignment="1">
      <alignment vertical="center"/>
    </xf>
    <xf numFmtId="0" fontId="5" fillId="26" borderId="12" xfId="0" applyFont="1" applyFill="1" applyBorder="1" applyAlignment="1">
      <alignment horizontal="center" vertical="center" wrapText="1"/>
    </xf>
    <xf numFmtId="0" fontId="3" fillId="26" borderId="14" xfId="0" applyFont="1" applyFill="1" applyBorder="1" applyAlignment="1">
      <alignment vertical="center"/>
    </xf>
    <xf numFmtId="0" fontId="3" fillId="35" borderId="15" xfId="0" applyFont="1" applyFill="1" applyBorder="1" applyAlignment="1">
      <alignment vertical="center"/>
    </xf>
    <xf numFmtId="0" fontId="5" fillId="26" borderId="16" xfId="0" applyFont="1" applyFill="1" applyBorder="1" applyAlignment="1">
      <alignment horizontal="center" vertical="center" wrapText="1"/>
    </xf>
    <xf numFmtId="0" fontId="5" fillId="26" borderId="18" xfId="0" applyFont="1" applyFill="1" applyBorder="1" applyAlignment="1">
      <alignment horizontal="center" vertical="center" wrapText="1"/>
    </xf>
    <xf numFmtId="0" fontId="5" fillId="26" borderId="20" xfId="0" applyFont="1" applyFill="1" applyBorder="1" applyAlignment="1">
      <alignment horizontal="center" vertical="center" wrapText="1"/>
    </xf>
    <xf numFmtId="0" fontId="3" fillId="35" borderId="22" xfId="0" applyFont="1" applyFill="1" applyBorder="1" applyAlignment="1">
      <alignment vertical="center"/>
    </xf>
    <xf numFmtId="0" fontId="3" fillId="35" borderId="23" xfId="0" applyFont="1" applyFill="1" applyBorder="1" applyAlignment="1">
      <alignment vertical="center"/>
    </xf>
    <xf numFmtId="164" fontId="3" fillId="35" borderId="23" xfId="0" applyNumberFormat="1" applyFont="1" applyFill="1" applyBorder="1" applyAlignment="1">
      <alignment horizontal="right" vertical="center"/>
    </xf>
    <xf numFmtId="0" fontId="3" fillId="35" borderId="24" xfId="0" applyFont="1" applyFill="1" applyBorder="1" applyAlignment="1">
      <alignment vertical="center"/>
    </xf>
    <xf numFmtId="0" fontId="3" fillId="35" borderId="25" xfId="0" applyFont="1" applyFill="1" applyBorder="1" applyAlignment="1">
      <alignment vertical="center"/>
    </xf>
    <xf numFmtId="164" fontId="13" fillId="35" borderId="26" xfId="0" applyNumberFormat="1" applyFont="1" applyFill="1" applyBorder="1" applyAlignment="1">
      <alignment horizontal="right" vertical="center"/>
    </xf>
    <xf numFmtId="164" fontId="13" fillId="35" borderId="23" xfId="0" applyNumberFormat="1" applyFont="1" applyFill="1" applyBorder="1" applyAlignment="1">
      <alignment horizontal="right" vertical="center"/>
    </xf>
    <xf numFmtId="164" fontId="13" fillId="35" borderId="27" xfId="0" applyNumberFormat="1" applyFont="1" applyFill="1" applyBorder="1" applyAlignment="1">
      <alignment horizontal="right" vertical="center"/>
    </xf>
    <xf numFmtId="164" fontId="2" fillId="63" borderId="19" xfId="0" applyNumberFormat="1" applyFont="1" applyFill="1" applyBorder="1" applyAlignment="1">
      <alignment horizontal="right" vertical="center"/>
    </xf>
    <xf numFmtId="164" fontId="2" fillId="63" borderId="28" xfId="0" applyNumberFormat="1" applyFont="1" applyFill="1" applyBorder="1" applyAlignment="1">
      <alignment horizontal="right" vertical="center"/>
    </xf>
    <xf numFmtId="164" fontId="13" fillId="35" borderId="29" xfId="0" applyNumberFormat="1" applyFont="1" applyFill="1" applyBorder="1" applyAlignment="1">
      <alignment horizontal="right" vertical="center"/>
    </xf>
    <xf numFmtId="0" fontId="5" fillId="26" borderId="0" xfId="0" applyFont="1" applyFill="1" applyAlignment="1">
      <alignment horizontal="right" vertical="center"/>
    </xf>
    <xf numFmtId="0" fontId="5" fillId="26" borderId="30" xfId="0" applyFont="1" applyFill="1" applyBorder="1" applyAlignment="1"/>
    <xf numFmtId="0" fontId="3" fillId="26" borderId="31" xfId="0" applyFont="1" applyFill="1" applyBorder="1" applyAlignment="1">
      <alignment horizontal="left" vertical="center"/>
    </xf>
    <xf numFmtId="0" fontId="5" fillId="26" borderId="32" xfId="0" applyFont="1" applyFill="1" applyBorder="1" applyAlignment="1">
      <alignment vertical="center"/>
    </xf>
    <xf numFmtId="164" fontId="13" fillId="35" borderId="33" xfId="0" applyNumberFormat="1" applyFont="1" applyFill="1" applyBorder="1" applyAlignment="1">
      <alignment horizontal="right" vertical="center"/>
    </xf>
    <xf numFmtId="164" fontId="13" fillId="35" borderId="34" xfId="0" applyNumberFormat="1" applyFont="1" applyFill="1" applyBorder="1" applyAlignment="1">
      <alignment horizontal="right" vertical="center"/>
    </xf>
    <xf numFmtId="164" fontId="13" fillId="35" borderId="35" xfId="0" applyNumberFormat="1" applyFont="1" applyFill="1" applyBorder="1" applyAlignment="1">
      <alignment horizontal="right" vertical="center"/>
    </xf>
    <xf numFmtId="0" fontId="3" fillId="26" borderId="14" xfId="0" applyFont="1" applyFill="1" applyBorder="1" applyAlignment="1">
      <alignment horizontal="center" vertical="center"/>
    </xf>
    <xf numFmtId="0" fontId="3" fillId="26" borderId="19" xfId="0" applyFont="1" applyFill="1" applyBorder="1" applyAlignment="1">
      <alignment horizontal="left" vertical="center"/>
    </xf>
    <xf numFmtId="0" fontId="5" fillId="26" borderId="0" xfId="0" applyFont="1" applyFill="1" applyBorder="1" applyAlignment="1">
      <alignment horizontal="center" vertical="center" wrapText="1"/>
    </xf>
    <xf numFmtId="0" fontId="5" fillId="26" borderId="0" xfId="0" applyFont="1" applyFill="1" applyBorder="1" applyAlignment="1">
      <alignment horizontal="center" vertical="center"/>
    </xf>
    <xf numFmtId="0" fontId="5" fillId="26" borderId="0" xfId="0" applyFont="1" applyFill="1" applyBorder="1" applyAlignment="1"/>
    <xf numFmtId="0" fontId="3" fillId="26" borderId="36" xfId="0" applyFont="1" applyFill="1" applyBorder="1" applyAlignment="1">
      <alignment vertical="center"/>
    </xf>
    <xf numFmtId="0" fontId="3" fillId="26" borderId="36" xfId="0" applyFont="1" applyFill="1" applyBorder="1" applyAlignment="1">
      <alignment horizontal="center" vertical="center"/>
    </xf>
    <xf numFmtId="0" fontId="3" fillId="26" borderId="9" xfId="0" applyFont="1" applyFill="1" applyBorder="1" applyAlignment="1">
      <alignment horizontal="center" vertical="center" wrapText="1"/>
    </xf>
    <xf numFmtId="0" fontId="16" fillId="26" borderId="0" xfId="0" applyFont="1" applyFill="1" applyBorder="1" applyAlignment="1">
      <alignment vertical="center"/>
    </xf>
    <xf numFmtId="0" fontId="18" fillId="26" borderId="0" xfId="0" applyFont="1" applyFill="1" applyBorder="1" applyAlignment="1">
      <alignment vertical="center"/>
    </xf>
    <xf numFmtId="0" fontId="5" fillId="26" borderId="0" xfId="0" applyFont="1" applyFill="1" applyAlignment="1">
      <alignment horizontal="center" vertical="center"/>
    </xf>
    <xf numFmtId="0" fontId="3" fillId="26" borderId="0" xfId="0" applyFont="1" applyFill="1" applyAlignment="1">
      <alignment horizontal="center" vertical="center"/>
    </xf>
    <xf numFmtId="0" fontId="1" fillId="0" borderId="0" xfId="0" applyFont="1" applyAlignment="1">
      <alignment vertical="top"/>
    </xf>
    <xf numFmtId="0" fontId="1" fillId="0" borderId="0" xfId="0" applyFont="1" applyAlignment="1">
      <alignment wrapText="1"/>
    </xf>
    <xf numFmtId="0" fontId="1" fillId="0" borderId="0" xfId="0" applyFont="1" applyAlignment="1">
      <alignment horizontal="left" vertical="top" wrapText="1" readingOrder="1"/>
    </xf>
    <xf numFmtId="0" fontId="1" fillId="0" borderId="0" xfId="0" applyFont="1" applyAlignment="1">
      <alignment vertical="top" wrapText="1"/>
    </xf>
    <xf numFmtId="0" fontId="1" fillId="0" borderId="0" xfId="0" applyFont="1" applyAlignment="1"/>
    <xf numFmtId="0" fontId="23" fillId="26" borderId="0" xfId="0" applyFont="1" applyFill="1" applyAlignment="1">
      <alignment vertical="top"/>
    </xf>
    <xf numFmtId="164" fontId="2" fillId="26" borderId="21" xfId="0" applyNumberFormat="1" applyFont="1" applyFill="1" applyBorder="1" applyAlignment="1">
      <alignment horizontal="right" vertical="center"/>
    </xf>
    <xf numFmtId="164" fontId="2" fillId="26" borderId="37" xfId="0" applyNumberFormat="1" applyFont="1" applyFill="1" applyBorder="1" applyAlignment="1">
      <alignment horizontal="right" vertical="center"/>
    </xf>
    <xf numFmtId="164" fontId="2" fillId="26" borderId="17" xfId="0" applyNumberFormat="1" applyFont="1" applyFill="1" applyBorder="1" applyAlignment="1">
      <alignment horizontal="right" vertical="center"/>
    </xf>
    <xf numFmtId="164" fontId="2" fillId="26" borderId="38" xfId="0" applyNumberFormat="1" applyFont="1" applyFill="1" applyBorder="1" applyAlignment="1">
      <alignment horizontal="right" vertical="center"/>
    </xf>
    <xf numFmtId="164" fontId="3" fillId="26" borderId="15" xfId="0" applyNumberFormat="1" applyFont="1" applyFill="1" applyBorder="1" applyAlignment="1">
      <alignment horizontal="right" vertical="center"/>
    </xf>
    <xf numFmtId="164" fontId="5" fillId="26" borderId="25" xfId="0" applyNumberFormat="1" applyFont="1" applyFill="1" applyBorder="1" applyAlignment="1">
      <alignment horizontal="right" vertical="center"/>
    </xf>
    <xf numFmtId="0" fontId="1" fillId="0" borderId="0" xfId="0" applyFont="1" applyAlignment="1">
      <alignment horizontal="left" vertical="top"/>
    </xf>
    <xf numFmtId="14" fontId="1" fillId="0" borderId="0" xfId="0" applyNumberFormat="1" applyFont="1" applyAlignment="1">
      <alignment wrapText="1"/>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63" borderId="0" xfId="0" applyFont="1" applyFill="1" applyAlignment="1" applyProtection="1">
      <alignment horizontal="center" vertical="center"/>
      <protection locked="0"/>
    </xf>
    <xf numFmtId="14" fontId="3" fillId="0" borderId="0" xfId="0" applyNumberFormat="1" applyFont="1" applyBorder="1" applyAlignment="1" applyProtection="1">
      <alignment horizontal="center" vertical="center" wrapText="1"/>
      <protection locked="0"/>
    </xf>
    <xf numFmtId="164" fontId="2" fillId="63" borderId="13" xfId="0" applyNumberFormat="1" applyFont="1" applyFill="1" applyBorder="1" applyAlignment="1" applyProtection="1">
      <alignment horizontal="right" vertical="center"/>
      <protection locked="0"/>
    </xf>
    <xf numFmtId="164" fontId="2" fillId="63" borderId="17" xfId="0" applyNumberFormat="1" applyFont="1" applyFill="1" applyBorder="1" applyAlignment="1" applyProtection="1">
      <alignment horizontal="right" vertical="center"/>
      <protection locked="0"/>
    </xf>
    <xf numFmtId="164" fontId="2" fillId="63" borderId="39" xfId="0" applyNumberFormat="1" applyFont="1" applyFill="1" applyBorder="1" applyAlignment="1" applyProtection="1">
      <alignment horizontal="right" vertical="center"/>
      <protection locked="0"/>
    </xf>
    <xf numFmtId="164" fontId="2" fillId="63" borderId="38" xfId="0" applyNumberFormat="1" applyFont="1" applyFill="1" applyBorder="1" applyAlignment="1" applyProtection="1">
      <alignment horizontal="right" vertical="center"/>
      <protection locked="0"/>
    </xf>
    <xf numFmtId="0" fontId="1" fillId="41" borderId="0" xfId="0" applyFont="1" applyFill="1" applyAlignment="1"/>
    <xf numFmtId="0" fontId="1" fillId="20" borderId="0" xfId="0" applyFont="1" applyFill="1" applyAlignment="1"/>
    <xf numFmtId="0" fontId="1" fillId="63" borderId="0" xfId="0" applyFont="1" applyFill="1" applyBorder="1" applyAlignment="1" applyProtection="1">
      <alignment horizontal="left" vertical="center" wrapText="1"/>
      <protection locked="0"/>
    </xf>
    <xf numFmtId="0" fontId="23" fillId="26" borderId="0" xfId="0" applyFont="1" applyFill="1" applyBorder="1" applyAlignment="1">
      <alignment vertical="center"/>
    </xf>
    <xf numFmtId="0" fontId="23" fillId="26" borderId="0" xfId="0" applyFont="1" applyFill="1" applyAlignment="1">
      <alignment vertical="center"/>
    </xf>
    <xf numFmtId="16" fontId="1" fillId="32" borderId="0" xfId="0" applyNumberFormat="1" applyFont="1" applyFill="1"/>
    <xf numFmtId="0" fontId="24" fillId="26" borderId="40" xfId="0" applyFont="1" applyFill="1" applyBorder="1" applyAlignment="1">
      <alignment vertical="center" wrapText="1"/>
    </xf>
    <xf numFmtId="0" fontId="24" fillId="26" borderId="41" xfId="0" applyFont="1" applyFill="1" applyBorder="1" applyAlignment="1">
      <alignment vertical="center" wrapText="1"/>
    </xf>
    <xf numFmtId="0" fontId="5" fillId="63" borderId="0" xfId="0" applyFont="1" applyFill="1" applyBorder="1" applyAlignment="1" applyProtection="1">
      <alignment vertical="center"/>
      <protection locked="0"/>
    </xf>
    <xf numFmtId="0" fontId="5" fillId="63" borderId="0" xfId="0" applyFont="1" applyFill="1" applyBorder="1" applyAlignment="1" applyProtection="1">
      <alignment horizontal="left" vertical="center"/>
      <protection locked="0"/>
    </xf>
    <xf numFmtId="14" fontId="1" fillId="0" borderId="0" xfId="0" applyNumberFormat="1" applyFont="1" applyAlignment="1"/>
    <xf numFmtId="0" fontId="1" fillId="64" borderId="0" xfId="0" applyFont="1" applyFill="1" applyAlignment="1"/>
    <xf numFmtId="0" fontId="1" fillId="64" borderId="0" xfId="0" applyFont="1" applyFill="1" applyAlignment="1">
      <alignment vertical="top" wrapText="1"/>
    </xf>
    <xf numFmtId="0" fontId="1" fillId="65" borderId="0" xfId="0" applyFont="1" applyFill="1" applyAlignment="1"/>
    <xf numFmtId="0" fontId="1" fillId="65" borderId="0" xfId="0" applyFont="1" applyFill="1" applyAlignment="1">
      <alignment vertical="top" wrapText="1"/>
    </xf>
    <xf numFmtId="0" fontId="1" fillId="20" borderId="0" xfId="0" applyFont="1" applyFill="1" applyAlignment="1">
      <alignment vertical="top" wrapText="1"/>
    </xf>
    <xf numFmtId="0" fontId="1" fillId="20" borderId="4" xfId="0" applyFont="1" applyFill="1" applyBorder="1" applyAlignment="1"/>
    <xf numFmtId="0" fontId="1" fillId="20" borderId="42" xfId="0" applyFont="1" applyFill="1" applyBorder="1" applyAlignment="1"/>
    <xf numFmtId="0" fontId="1" fillId="0" borderId="42" xfId="0" applyFont="1" applyBorder="1" applyAlignment="1"/>
    <xf numFmtId="0" fontId="1" fillId="0" borderId="1" xfId="0" applyFont="1" applyBorder="1" applyAlignment="1"/>
    <xf numFmtId="0" fontId="1" fillId="41" borderId="6" xfId="0" applyFont="1" applyFill="1" applyBorder="1" applyAlignment="1"/>
    <xf numFmtId="0" fontId="1" fillId="41" borderId="43" xfId="0" applyFont="1" applyFill="1" applyBorder="1" applyAlignment="1"/>
    <xf numFmtId="0" fontId="1" fillId="0" borderId="43" xfId="0" applyFont="1" applyBorder="1" applyAlignment="1"/>
    <xf numFmtId="14" fontId="1" fillId="0" borderId="43" xfId="0" applyNumberFormat="1" applyFont="1" applyBorder="1" applyAlignment="1"/>
    <xf numFmtId="0" fontId="1" fillId="0" borderId="3" xfId="0" applyFont="1" applyBorder="1" applyAlignment="1"/>
    <xf numFmtId="0" fontId="5" fillId="26" borderId="0" xfId="0" applyFont="1" applyFill="1" applyBorder="1" applyAlignment="1">
      <alignment vertical="center" wrapText="1"/>
    </xf>
    <xf numFmtId="0" fontId="25" fillId="0" borderId="0" xfId="0" applyFont="1" applyAlignment="1"/>
    <xf numFmtId="0" fontId="2" fillId="0" borderId="0" xfId="0" applyFont="1" applyAlignment="1">
      <alignment vertical="top" wrapText="1"/>
    </xf>
    <xf numFmtId="0" fontId="13" fillId="20" borderId="0" xfId="0" applyFont="1" applyFill="1" applyAlignment="1">
      <alignment horizontal="center" vertical="center" wrapText="1"/>
    </xf>
    <xf numFmtId="0" fontId="13" fillId="20" borderId="0" xfId="0" applyFont="1" applyFill="1" applyAlignment="1">
      <alignment vertical="center" wrapText="1"/>
    </xf>
    <xf numFmtId="0" fontId="27" fillId="0" borderId="0" xfId="0" applyFont="1"/>
    <xf numFmtId="0" fontId="29" fillId="0" borderId="0" xfId="0" applyFont="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26" borderId="0" xfId="0" applyFont="1" applyFill="1" applyBorder="1" applyAlignment="1">
      <alignment vertical="center" wrapText="1"/>
    </xf>
    <xf numFmtId="0" fontId="5" fillId="0" borderId="0" xfId="0" applyFont="1" applyBorder="1" applyAlignment="1" applyProtection="1">
      <alignment horizontal="left" vertical="top" wrapText="1"/>
      <protection locked="0"/>
    </xf>
    <xf numFmtId="164" fontId="2" fillId="26" borderId="0" xfId="0" applyNumberFormat="1" applyFont="1" applyFill="1" applyBorder="1" applyAlignment="1">
      <alignment horizontal="right" vertical="center"/>
    </xf>
    <xf numFmtId="164" fontId="5" fillId="26" borderId="0" xfId="0" applyNumberFormat="1" applyFont="1" applyFill="1" applyBorder="1" applyAlignment="1">
      <alignment horizontal="right" vertical="center"/>
    </xf>
    <xf numFmtId="14" fontId="5" fillId="63" borderId="0" xfId="0" applyNumberFormat="1" applyFont="1" applyFill="1" applyBorder="1" applyAlignment="1" applyProtection="1">
      <alignment horizontal="right" vertical="center"/>
      <protection locked="0"/>
    </xf>
    <xf numFmtId="0" fontId="30" fillId="26" borderId="0" xfId="0" applyFont="1" applyFill="1" applyBorder="1" applyAlignment="1">
      <alignment horizontal="left" vertical="center" wrapText="1"/>
    </xf>
    <xf numFmtId="0" fontId="3" fillId="26" borderId="0" xfId="0" applyFont="1" applyFill="1" applyBorder="1" applyAlignment="1">
      <alignment horizontal="center" vertical="center" wrapText="1"/>
    </xf>
    <xf numFmtId="0" fontId="1" fillId="67" borderId="49" xfId="0" applyFont="1" applyFill="1" applyBorder="1"/>
    <xf numFmtId="0" fontId="1" fillId="68" borderId="50" xfId="0" applyFont="1" applyFill="1" applyBorder="1"/>
    <xf numFmtId="0" fontId="1" fillId="69" borderId="50" xfId="0" applyFont="1" applyFill="1" applyBorder="1"/>
    <xf numFmtId="0" fontId="1" fillId="0" borderId="50" xfId="0" applyFont="1" applyFill="1" applyBorder="1"/>
    <xf numFmtId="16" fontId="1" fillId="69" borderId="50" xfId="0" applyNumberFormat="1" applyFont="1" applyFill="1" applyBorder="1"/>
    <xf numFmtId="0" fontId="20" fillId="68" borderId="50" xfId="0" applyFont="1" applyFill="1" applyBorder="1"/>
    <xf numFmtId="0" fontId="19" fillId="68" borderId="50" xfId="0" applyFont="1" applyFill="1" applyBorder="1"/>
    <xf numFmtId="0" fontId="1" fillId="68" borderId="51" xfId="0" applyFont="1" applyFill="1" applyBorder="1"/>
    <xf numFmtId="165" fontId="5" fillId="63" borderId="0" xfId="0" applyNumberFormat="1" applyFont="1" applyFill="1" applyBorder="1" applyAlignment="1" applyProtection="1">
      <alignment vertical="center" wrapText="1"/>
      <protection locked="0"/>
    </xf>
    <xf numFmtId="166" fontId="17" fillId="63" borderId="0" xfId="0" applyNumberFormat="1" applyFont="1" applyFill="1" applyBorder="1" applyAlignment="1" applyProtection="1">
      <alignment horizontal="right" vertical="center"/>
      <protection locked="0"/>
    </xf>
    <xf numFmtId="0" fontId="2" fillId="35" borderId="17"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13" fillId="35" borderId="15" xfId="0" applyFont="1" applyFill="1" applyBorder="1" applyAlignment="1">
      <alignment horizontal="center" vertical="center"/>
    </xf>
    <xf numFmtId="0" fontId="13" fillId="35" borderId="9" xfId="0" applyFont="1" applyFill="1" applyBorder="1" applyAlignment="1">
      <alignment horizontal="center" vertical="center" wrapText="1"/>
    </xf>
    <xf numFmtId="0" fontId="14" fillId="26" borderId="0" xfId="1" applyFill="1" applyAlignment="1" applyProtection="1">
      <alignment vertical="center"/>
      <protection locked="0"/>
    </xf>
    <xf numFmtId="0" fontId="5" fillId="63" borderId="0" xfId="0" applyFont="1" applyFill="1" applyBorder="1" applyAlignment="1" applyProtection="1">
      <alignment vertical="center"/>
      <protection locked="0"/>
    </xf>
    <xf numFmtId="0" fontId="10" fillId="22" borderId="0" xfId="0" applyFont="1" applyFill="1" applyBorder="1" applyAlignment="1">
      <alignment vertical="center" wrapText="1"/>
    </xf>
    <xf numFmtId="0" fontId="5" fillId="63" borderId="0" xfId="0" applyFont="1" applyFill="1" applyBorder="1" applyAlignment="1" applyProtection="1">
      <alignment vertical="center" wrapText="1"/>
      <protection locked="0"/>
    </xf>
    <xf numFmtId="0" fontId="5" fillId="63" borderId="52" xfId="0" applyFont="1" applyFill="1" applyBorder="1" applyAlignment="1" applyProtection="1">
      <alignment vertical="center"/>
      <protection locked="0"/>
    </xf>
    <xf numFmtId="0" fontId="3" fillId="63" borderId="44" xfId="0" applyFont="1" applyFill="1" applyBorder="1" applyAlignment="1" applyProtection="1">
      <alignment vertical="center"/>
      <protection locked="0"/>
    </xf>
    <xf numFmtId="0" fontId="3" fillId="63" borderId="19" xfId="0" applyFont="1" applyFill="1" applyBorder="1" applyAlignment="1" applyProtection="1">
      <alignment vertical="center"/>
      <protection locked="0"/>
    </xf>
    <xf numFmtId="0" fontId="3" fillId="63" borderId="15" xfId="0" applyFont="1" applyFill="1" applyBorder="1" applyAlignment="1" applyProtection="1">
      <alignment vertical="center"/>
      <protection locked="0"/>
    </xf>
    <xf numFmtId="0" fontId="3" fillId="63" borderId="45" xfId="0" applyFont="1" applyFill="1" applyBorder="1" applyAlignment="1" applyProtection="1">
      <alignment vertical="center"/>
      <protection locked="0"/>
    </xf>
    <xf numFmtId="0" fontId="3" fillId="63" borderId="28" xfId="0" applyFont="1" applyFill="1" applyBorder="1" applyAlignment="1" applyProtection="1">
      <alignment vertical="center"/>
      <protection locked="0"/>
    </xf>
    <xf numFmtId="0" fontId="3" fillId="63" borderId="25" xfId="0" applyFont="1" applyFill="1" applyBorder="1" applyAlignment="1" applyProtection="1">
      <alignment vertical="center"/>
      <protection locked="0"/>
    </xf>
    <xf numFmtId="0" fontId="3" fillId="26" borderId="0" xfId="0" applyFont="1" applyFill="1" applyBorder="1" applyAlignment="1">
      <alignment vertical="center" wrapText="1"/>
    </xf>
    <xf numFmtId="0" fontId="3" fillId="63" borderId="46" xfId="0" applyFont="1" applyFill="1" applyBorder="1" applyAlignment="1" applyProtection="1">
      <alignment vertical="center"/>
      <protection locked="0"/>
    </xf>
    <xf numFmtId="0" fontId="3" fillId="63" borderId="47" xfId="0" applyFont="1" applyFill="1" applyBorder="1" applyAlignment="1" applyProtection="1">
      <alignment vertical="center"/>
      <protection locked="0"/>
    </xf>
    <xf numFmtId="0" fontId="3" fillId="63" borderId="48" xfId="0" applyFont="1" applyFill="1" applyBorder="1" applyAlignment="1" applyProtection="1">
      <alignment vertical="center"/>
      <protection locked="0"/>
    </xf>
    <xf numFmtId="0" fontId="5" fillId="32" borderId="44"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23" borderId="44"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6" fillId="66" borderId="0" xfId="0" applyFont="1" applyFill="1" applyBorder="1" applyAlignment="1">
      <alignment vertical="center"/>
    </xf>
    <xf numFmtId="0" fontId="5" fillId="63" borderId="0" xfId="2" applyFont="1" applyFill="1" applyBorder="1" applyAlignment="1" applyProtection="1">
      <alignment vertical="center"/>
      <protection locked="0"/>
    </xf>
    <xf numFmtId="0" fontId="14" fillId="63" borderId="0" xfId="1" applyFill="1" applyBorder="1" applyAlignment="1" applyProtection="1">
      <alignment horizontal="left" vertical="center"/>
      <protection locked="0"/>
    </xf>
    <xf numFmtId="0" fontId="14" fillId="63" borderId="0" xfId="1" applyFont="1" applyFill="1" applyBorder="1" applyAlignment="1" applyProtection="1">
      <alignment horizontal="left" vertical="center"/>
      <protection locked="0"/>
    </xf>
    <xf numFmtId="0" fontId="5" fillId="35" borderId="0" xfId="0" applyFont="1" applyFill="1" applyBorder="1" applyAlignment="1">
      <alignment horizontal="left" vertical="center" wrapText="1"/>
    </xf>
    <xf numFmtId="0" fontId="5" fillId="63" borderId="0" xfId="0" applyFont="1" applyFill="1" applyBorder="1" applyAlignment="1" applyProtection="1">
      <alignment horizontal="left" vertical="center" wrapText="1"/>
      <protection locked="0"/>
    </xf>
    <xf numFmtId="0" fontId="5" fillId="63" borderId="0" xfId="0" applyFont="1" applyFill="1" applyBorder="1" applyAlignment="1" applyProtection="1">
      <alignment horizontal="left" vertical="center"/>
      <protection locked="0"/>
    </xf>
    <xf numFmtId="0" fontId="10" fillId="22" borderId="0" xfId="0" applyFont="1" applyFill="1" applyAlignment="1">
      <alignment horizontal="left" vertical="center" wrapText="1"/>
    </xf>
    <xf numFmtId="0" fontId="6" fillId="22" borderId="0" xfId="0" applyFont="1" applyFill="1" applyAlignment="1">
      <alignment horizontal="left" vertical="center" wrapText="1"/>
    </xf>
    <xf numFmtId="0" fontId="22" fillId="26" borderId="0" xfId="0" applyFont="1" applyFill="1" applyBorder="1" applyAlignment="1">
      <alignment horizontal="center" vertical="center" wrapText="1"/>
    </xf>
    <xf numFmtId="0" fontId="6" fillId="22" borderId="0" xfId="0" applyFont="1" applyFill="1" applyAlignment="1">
      <alignment vertical="center" wrapText="1"/>
    </xf>
    <xf numFmtId="0" fontId="5" fillId="22" borderId="0" xfId="0" applyFont="1" applyFill="1" applyAlignment="1">
      <alignment vertical="center"/>
    </xf>
    <xf numFmtId="0" fontId="5" fillId="35" borderId="0" xfId="0" applyFont="1" applyFill="1" applyAlignment="1">
      <alignment horizontal="left" vertical="center" wrapText="1"/>
    </xf>
    <xf numFmtId="0" fontId="6" fillId="25" borderId="0" xfId="0" applyFont="1" applyFill="1" applyBorder="1" applyAlignment="1">
      <alignment vertical="center"/>
    </xf>
    <xf numFmtId="0" fontId="17" fillId="63" borderId="0" xfId="0" applyFont="1" applyFill="1" applyBorder="1" applyAlignment="1" applyProtection="1">
      <alignment horizontal="center" vertical="center"/>
      <protection locked="0"/>
    </xf>
    <xf numFmtId="0" fontId="5" fillId="63" borderId="0" xfId="2" applyFont="1" applyFill="1" applyBorder="1" applyAlignment="1" applyProtection="1">
      <alignment vertical="center" wrapText="1"/>
      <protection locked="0"/>
    </xf>
    <xf numFmtId="0" fontId="3" fillId="63" borderId="46" xfId="2" applyFont="1" applyFill="1" applyBorder="1" applyAlignment="1" applyProtection="1">
      <alignment vertical="center"/>
      <protection locked="0"/>
    </xf>
    <xf numFmtId="0" fontId="3" fillId="63" borderId="47" xfId="2" applyFont="1" applyFill="1" applyBorder="1" applyAlignment="1" applyProtection="1">
      <alignment vertical="center"/>
      <protection locked="0"/>
    </xf>
    <xf numFmtId="0" fontId="3" fillId="63" borderId="48" xfId="2" applyFont="1" applyFill="1" applyBorder="1" applyAlignment="1" applyProtection="1">
      <alignment vertical="center"/>
      <protection locked="0"/>
    </xf>
    <xf numFmtId="0" fontId="10" fillId="25" borderId="0" xfId="0" applyFont="1" applyFill="1" applyBorder="1" applyAlignment="1">
      <alignment horizontal="left" vertical="center"/>
    </xf>
    <xf numFmtId="0" fontId="3" fillId="22" borderId="0" xfId="0" applyFont="1" applyFill="1" applyAlignment="1">
      <alignment vertical="center"/>
    </xf>
    <xf numFmtId="0" fontId="5" fillId="63" borderId="0" xfId="0" applyFont="1" applyFill="1" applyBorder="1" applyAlignment="1" applyProtection="1">
      <alignment vertical="top" wrapText="1"/>
      <protection locked="0"/>
    </xf>
    <xf numFmtId="0" fontId="5" fillId="63" borderId="52" xfId="0" applyFont="1" applyFill="1" applyBorder="1" applyAlignment="1" applyProtection="1">
      <alignment vertical="top" wrapText="1"/>
      <protection locked="0"/>
    </xf>
    <xf numFmtId="0" fontId="1" fillId="63" borderId="0" xfId="0" applyFont="1" applyFill="1" applyBorder="1" applyAlignment="1" applyProtection="1">
      <alignment vertical="center" wrapText="1"/>
      <protection locked="0"/>
    </xf>
    <xf numFmtId="0" fontId="16" fillId="26" borderId="0" xfId="0" applyFont="1" applyFill="1" applyAlignment="1">
      <alignment vertical="center" wrapText="1"/>
    </xf>
    <xf numFmtId="0" fontId="6" fillId="66" borderId="0" xfId="0" applyFont="1" applyFill="1" applyAlignment="1">
      <alignment vertical="center" wrapText="1"/>
    </xf>
    <xf numFmtId="0" fontId="5" fillId="66" borderId="0" xfId="0" applyFont="1" applyFill="1" applyAlignment="1">
      <alignment vertical="center"/>
    </xf>
  </cellXfs>
  <cellStyles count="3">
    <cellStyle name="Hyperlink" xfId="1" builtinId="8" customBuiltin="1"/>
    <cellStyle name="Normal" xfId="0" builtinId="0"/>
    <cellStyle name="Standard_Fragebogen" xfId="2"/>
  </cellStyles>
  <dxfs count="0"/>
  <tableStyles count="0" defaultTableStyle="TableStyleMedium2" defaultPivotStyle="PivotStyleLight16"/>
  <colors>
    <mruColors>
      <color rgb="FFFF00FF"/>
      <color rgb="FFBFF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1</xdr:row>
          <xdr:rowOff>19050</xdr:rowOff>
        </xdr:from>
        <xdr:to>
          <xdr:col>3</xdr:col>
          <xdr:colOff>1466850</xdr:colOff>
          <xdr:row>3</xdr:row>
          <xdr:rowOff>104775</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4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Farbe setzen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willistowerswatson.com/en-GB/Solutions/products/airbus-suppli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26"/>
  <sheetViews>
    <sheetView zoomScale="80" zoomScaleNormal="80" workbookViewId="0">
      <pane xSplit="3" ySplit="5" topLeftCell="D6" activePane="bottomRight" state="frozen"/>
      <selection pane="topRight" activeCell="D1" sqref="D1"/>
      <selection pane="bottomLeft" activeCell="A6" sqref="A6"/>
      <selection pane="bottomRight" activeCell="D8" sqref="D8"/>
    </sheetView>
  </sheetViews>
  <sheetFormatPr defaultColWidth="11.42578125" defaultRowHeight="12.75" x14ac:dyDescent="0.2"/>
  <cols>
    <col min="1" max="2" width="2.7109375" customWidth="1"/>
    <col min="3" max="3" width="7.7109375" customWidth="1"/>
    <col min="4" max="5" width="60.7109375" customWidth="1"/>
    <col min="6" max="6" width="7.7109375" customWidth="1"/>
    <col min="7" max="7" width="10.7109375" customWidth="1"/>
  </cols>
  <sheetData>
    <row r="1" spans="1:11" x14ac:dyDescent="0.2">
      <c r="A1" s="222">
        <v>2</v>
      </c>
      <c r="B1" s="222">
        <v>2</v>
      </c>
      <c r="C1" s="222">
        <v>7</v>
      </c>
      <c r="D1" s="222">
        <v>60</v>
      </c>
      <c r="E1" s="222">
        <v>60</v>
      </c>
      <c r="F1" s="222">
        <v>7</v>
      </c>
      <c r="G1" s="222">
        <v>10</v>
      </c>
    </row>
    <row r="2" spans="1:11" x14ac:dyDescent="0.2">
      <c r="A2" s="222"/>
    </row>
    <row r="3" spans="1:11" ht="23.25" x14ac:dyDescent="0.35">
      <c r="A3" s="222"/>
      <c r="C3" s="221" t="s">
        <v>462</v>
      </c>
    </row>
    <row r="4" spans="1:11" x14ac:dyDescent="0.2">
      <c r="A4" s="222"/>
    </row>
    <row r="5" spans="1:11" ht="26.1" customHeight="1" x14ac:dyDescent="0.2">
      <c r="A5" s="222">
        <v>26</v>
      </c>
      <c r="C5" s="219" t="s">
        <v>464</v>
      </c>
      <c r="D5" s="220" t="s">
        <v>465</v>
      </c>
      <c r="E5" s="220" t="s">
        <v>466</v>
      </c>
      <c r="F5" s="220" t="s">
        <v>470</v>
      </c>
      <c r="G5" s="220" t="s">
        <v>463</v>
      </c>
      <c r="H5" s="220" t="s">
        <v>489</v>
      </c>
      <c r="I5" s="220" t="s">
        <v>508</v>
      </c>
      <c r="J5" s="220" t="s">
        <v>510</v>
      </c>
      <c r="K5" s="220" t="s">
        <v>509</v>
      </c>
    </row>
    <row r="6" spans="1:11" ht="26.1" customHeight="1" x14ac:dyDescent="0.2">
      <c r="A6" s="222">
        <v>26</v>
      </c>
      <c r="C6" s="223">
        <v>1</v>
      </c>
      <c r="D6" s="218" t="s">
        <v>487</v>
      </c>
      <c r="E6" s="218" t="s">
        <v>488</v>
      </c>
      <c r="F6" s="223">
        <v>2</v>
      </c>
      <c r="G6" s="224">
        <v>43427</v>
      </c>
    </row>
    <row r="7" spans="1:11" ht="26.1" customHeight="1" x14ac:dyDescent="0.2">
      <c r="A7" s="222">
        <v>26</v>
      </c>
      <c r="C7" s="223">
        <f t="shared" ref="C7:C9" si="0">C6+1</f>
        <v>2</v>
      </c>
      <c r="D7" s="218" t="s">
        <v>488</v>
      </c>
      <c r="E7" s="2" t="s">
        <v>489</v>
      </c>
      <c r="F7" s="223"/>
      <c r="G7" s="223"/>
    </row>
    <row r="8" spans="1:11" ht="26.1" customHeight="1" x14ac:dyDescent="0.2">
      <c r="A8" s="222">
        <v>26</v>
      </c>
      <c r="C8" s="223">
        <f t="shared" si="0"/>
        <v>3</v>
      </c>
      <c r="D8" s="218" t="s">
        <v>482</v>
      </c>
      <c r="E8" s="2" t="s">
        <v>473</v>
      </c>
      <c r="F8" s="223"/>
      <c r="G8" s="224">
        <v>43508</v>
      </c>
    </row>
    <row r="9" spans="1:11" ht="26.1" customHeight="1" x14ac:dyDescent="0.2">
      <c r="A9" s="222">
        <v>26</v>
      </c>
      <c r="C9" s="223">
        <f t="shared" si="0"/>
        <v>4</v>
      </c>
      <c r="D9" s="218" t="s">
        <v>469</v>
      </c>
      <c r="E9" s="2" t="s">
        <v>468</v>
      </c>
      <c r="F9" s="223"/>
      <c r="G9" s="224">
        <v>43656</v>
      </c>
    </row>
    <row r="10" spans="1:11" ht="26.1" customHeight="1" x14ac:dyDescent="0.2">
      <c r="A10" s="222">
        <v>26</v>
      </c>
      <c r="C10" s="223">
        <f t="shared" ref="C10" si="1">C9+1</f>
        <v>5</v>
      </c>
      <c r="D10" s="218" t="s">
        <v>492</v>
      </c>
      <c r="E10" s="2" t="s">
        <v>467</v>
      </c>
      <c r="F10" s="223"/>
      <c r="G10" s="224">
        <v>43656</v>
      </c>
    </row>
    <row r="11" spans="1:11" ht="26.1" customHeight="1" x14ac:dyDescent="0.2">
      <c r="A11" s="222">
        <v>26</v>
      </c>
      <c r="C11" s="223">
        <f t="shared" ref="C11:C13" si="2">C10+1</f>
        <v>6</v>
      </c>
      <c r="D11" s="218" t="s">
        <v>471</v>
      </c>
      <c r="E11" s="2" t="s">
        <v>473</v>
      </c>
      <c r="F11" s="223"/>
      <c r="G11" s="224">
        <v>43508</v>
      </c>
    </row>
    <row r="12" spans="1:11" ht="39" customHeight="1" x14ac:dyDescent="0.2">
      <c r="A12" s="222">
        <v>39</v>
      </c>
      <c r="C12" s="223">
        <f t="shared" si="2"/>
        <v>7</v>
      </c>
      <c r="D12" s="2" t="s">
        <v>472</v>
      </c>
      <c r="E12" s="2" t="s">
        <v>473</v>
      </c>
      <c r="F12" s="223"/>
      <c r="G12" s="224">
        <v>43508</v>
      </c>
    </row>
    <row r="13" spans="1:11" ht="26.1" customHeight="1" x14ac:dyDescent="0.2">
      <c r="A13" s="222">
        <v>26</v>
      </c>
      <c r="C13" s="223">
        <f t="shared" si="2"/>
        <v>8</v>
      </c>
      <c r="D13" s="2" t="s">
        <v>474</v>
      </c>
      <c r="E13" s="2" t="s">
        <v>475</v>
      </c>
      <c r="F13" s="223"/>
      <c r="G13" s="224">
        <v>43508</v>
      </c>
    </row>
    <row r="14" spans="1:11" ht="26.1" customHeight="1" x14ac:dyDescent="0.2">
      <c r="A14" s="222">
        <v>26</v>
      </c>
      <c r="C14" s="223">
        <f t="shared" ref="C14:C26" si="3">C13+1</f>
        <v>9</v>
      </c>
      <c r="D14" s="2" t="s">
        <v>476</v>
      </c>
      <c r="E14" s="2" t="s">
        <v>473</v>
      </c>
      <c r="F14" s="223"/>
      <c r="G14" s="224">
        <v>43656</v>
      </c>
    </row>
    <row r="15" spans="1:11" ht="26.1" customHeight="1" x14ac:dyDescent="0.2">
      <c r="A15" s="222">
        <v>26</v>
      </c>
      <c r="C15" s="223">
        <f t="shared" si="3"/>
        <v>10</v>
      </c>
      <c r="D15" s="218" t="s">
        <v>512</v>
      </c>
      <c r="E15" s="2" t="s">
        <v>473</v>
      </c>
      <c r="F15" s="223"/>
      <c r="G15" s="224">
        <v>43656</v>
      </c>
    </row>
    <row r="16" spans="1:11" ht="26.1" customHeight="1" x14ac:dyDescent="0.2">
      <c r="A16" s="222">
        <v>26</v>
      </c>
      <c r="C16" s="223">
        <f t="shared" si="3"/>
        <v>11</v>
      </c>
      <c r="D16" s="218" t="s">
        <v>511</v>
      </c>
      <c r="E16" s="2" t="s">
        <v>473</v>
      </c>
      <c r="F16" s="223"/>
      <c r="G16" s="224">
        <v>43657</v>
      </c>
    </row>
    <row r="17" spans="1:7" ht="26.1" customHeight="1" x14ac:dyDescent="0.2">
      <c r="A17" s="222">
        <v>26</v>
      </c>
      <c r="C17" s="223">
        <f t="shared" si="3"/>
        <v>12</v>
      </c>
      <c r="D17" s="2" t="s">
        <v>477</v>
      </c>
      <c r="E17" s="2" t="s">
        <v>478</v>
      </c>
      <c r="F17" s="223"/>
      <c r="G17" s="224">
        <v>43657</v>
      </c>
    </row>
    <row r="18" spans="1:7" ht="26.1" customHeight="1" x14ac:dyDescent="0.2">
      <c r="A18" s="222">
        <v>26</v>
      </c>
      <c r="C18" s="223">
        <f t="shared" si="3"/>
        <v>13</v>
      </c>
      <c r="D18" s="218" t="s">
        <v>485</v>
      </c>
      <c r="E18" s="2" t="s">
        <v>473</v>
      </c>
      <c r="F18" s="223"/>
      <c r="G18" s="224">
        <v>43508</v>
      </c>
    </row>
    <row r="19" spans="1:7" ht="26.1" customHeight="1" x14ac:dyDescent="0.2">
      <c r="A19" s="222">
        <v>26</v>
      </c>
      <c r="C19" s="223">
        <f t="shared" si="3"/>
        <v>14</v>
      </c>
      <c r="D19" s="2" t="s">
        <v>479</v>
      </c>
      <c r="E19" s="2" t="s">
        <v>473</v>
      </c>
      <c r="F19" s="223"/>
      <c r="G19" s="224">
        <v>43508</v>
      </c>
    </row>
    <row r="20" spans="1:7" ht="26.1" customHeight="1" x14ac:dyDescent="0.2">
      <c r="A20" s="222">
        <v>26</v>
      </c>
      <c r="C20" s="223">
        <f t="shared" si="3"/>
        <v>15</v>
      </c>
      <c r="D20" s="2" t="s">
        <v>480</v>
      </c>
      <c r="E20" s="2" t="s">
        <v>481</v>
      </c>
      <c r="F20" s="223"/>
      <c r="G20" s="224">
        <v>43508</v>
      </c>
    </row>
    <row r="21" spans="1:7" ht="26.1" customHeight="1" x14ac:dyDescent="0.2">
      <c r="A21" s="222">
        <v>26</v>
      </c>
      <c r="C21" s="223">
        <f t="shared" si="3"/>
        <v>16</v>
      </c>
      <c r="D21" s="218" t="s">
        <v>486</v>
      </c>
      <c r="E21" s="2" t="s">
        <v>473</v>
      </c>
      <c r="F21" s="223"/>
      <c r="G21" s="224">
        <v>43508</v>
      </c>
    </row>
    <row r="22" spans="1:7" ht="26.1" customHeight="1" x14ac:dyDescent="0.2">
      <c r="A22" s="222">
        <v>26</v>
      </c>
      <c r="C22" s="223">
        <f t="shared" si="3"/>
        <v>17</v>
      </c>
      <c r="D22" s="218" t="s">
        <v>483</v>
      </c>
      <c r="E22" s="2" t="s">
        <v>473</v>
      </c>
      <c r="F22" s="223"/>
      <c r="G22" s="224">
        <v>43508</v>
      </c>
    </row>
    <row r="23" spans="1:7" ht="39" customHeight="1" x14ac:dyDescent="0.2">
      <c r="A23" s="222">
        <v>39</v>
      </c>
      <c r="C23" s="223">
        <f t="shared" si="3"/>
        <v>18</v>
      </c>
      <c r="D23" s="218" t="s">
        <v>484</v>
      </c>
      <c r="E23" s="2" t="s">
        <v>473</v>
      </c>
      <c r="F23" s="223"/>
      <c r="G23" s="224">
        <v>43657</v>
      </c>
    </row>
    <row r="24" spans="1:7" ht="26.1" customHeight="1" x14ac:dyDescent="0.2">
      <c r="A24" s="222">
        <v>26</v>
      </c>
      <c r="C24" s="223">
        <f t="shared" si="3"/>
        <v>19</v>
      </c>
      <c r="D24" s="2" t="s">
        <v>714</v>
      </c>
      <c r="E24" s="2" t="s">
        <v>473</v>
      </c>
      <c r="F24" s="223"/>
      <c r="G24" s="224">
        <v>43657</v>
      </c>
    </row>
    <row r="25" spans="1:7" ht="26.1" customHeight="1" x14ac:dyDescent="0.2">
      <c r="A25" s="222">
        <v>26</v>
      </c>
      <c r="C25" s="223">
        <f t="shared" si="3"/>
        <v>20</v>
      </c>
      <c r="D25" s="2"/>
      <c r="E25" s="2"/>
      <c r="F25" s="223"/>
      <c r="G25" s="223"/>
    </row>
    <row r="26" spans="1:7" ht="26.1" customHeight="1" x14ac:dyDescent="0.2">
      <c r="A26" s="222">
        <v>26</v>
      </c>
      <c r="C26" s="223">
        <f t="shared" si="3"/>
        <v>21</v>
      </c>
      <c r="D26" s="2"/>
      <c r="E26" s="2"/>
      <c r="F26" s="223"/>
      <c r="G26" s="223"/>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51"/>
    <pageSetUpPr fitToPage="1"/>
  </sheetPr>
  <dimension ref="A1:AD318"/>
  <sheetViews>
    <sheetView tabSelected="1" zoomScale="80" zoomScaleNormal="80" workbookViewId="0">
      <pane ySplit="10" topLeftCell="A11" activePane="bottomLeft" state="frozenSplit"/>
      <selection pane="bottomLeft" activeCell="M9" sqref="M9"/>
    </sheetView>
  </sheetViews>
  <sheetFormatPr defaultColWidth="0" defaultRowHeight="12.75" zeroHeight="1" x14ac:dyDescent="0.2"/>
  <cols>
    <col min="1" max="1" width="5.7109375" hidden="1" customWidth="1"/>
    <col min="2" max="2" width="3.7109375" customWidth="1"/>
    <col min="3" max="3" width="30.5703125" customWidth="1"/>
    <col min="4" max="4" width="0.85546875" customWidth="1"/>
    <col min="5" max="9" width="15.7109375" customWidth="1"/>
    <col min="10" max="10" width="0.85546875" customWidth="1"/>
    <col min="11" max="11" width="15.7109375" customWidth="1"/>
    <col min="12" max="12" width="0.85546875" customWidth="1"/>
    <col min="13" max="13" width="15.7109375" customWidth="1"/>
    <col min="14" max="14" width="3.7109375" customWidth="1"/>
    <col min="15" max="15" width="12.7109375" hidden="1" customWidth="1"/>
    <col min="16" max="16" width="32.28515625" hidden="1" customWidth="1"/>
    <col min="17" max="17" width="29.28515625" hidden="1" customWidth="1"/>
    <col min="18" max="19" width="28.7109375" hidden="1" customWidth="1"/>
    <col min="20" max="20" width="28.5703125" hidden="1" customWidth="1"/>
    <col min="21" max="21" width="19.140625" hidden="1" customWidth="1"/>
    <col min="22" max="22" width="16.85546875" hidden="1" customWidth="1"/>
    <col min="23" max="23" width="18" hidden="1" customWidth="1"/>
    <col min="24" max="31" width="11.42578125" hidden="1" customWidth="1"/>
    <col min="32" max="16384" width="11.42578125" hidden="1"/>
  </cols>
  <sheetData>
    <row r="1" spans="1:30" ht="5.0999999999999996" hidden="1" customHeight="1" x14ac:dyDescent="0.2">
      <c r="A1" s="120">
        <v>5</v>
      </c>
      <c r="B1">
        <v>3</v>
      </c>
      <c r="C1">
        <v>30</v>
      </c>
      <c r="D1">
        <v>0.5</v>
      </c>
      <c r="E1">
        <v>15</v>
      </c>
      <c r="F1">
        <v>15</v>
      </c>
      <c r="G1">
        <v>15</v>
      </c>
      <c r="H1">
        <v>15</v>
      </c>
      <c r="I1">
        <v>15</v>
      </c>
      <c r="J1">
        <v>0.5</v>
      </c>
      <c r="K1">
        <v>15</v>
      </c>
      <c r="L1">
        <v>0.5</v>
      </c>
      <c r="M1">
        <v>15</v>
      </c>
      <c r="N1">
        <v>3</v>
      </c>
    </row>
    <row r="2" spans="1:30" ht="5.0999999999999996" customHeight="1" x14ac:dyDescent="0.2">
      <c r="A2" s="120">
        <v>5</v>
      </c>
      <c r="B2" s="81"/>
      <c r="C2" s="82"/>
      <c r="D2" s="82"/>
      <c r="E2" s="84"/>
      <c r="F2" s="84"/>
      <c r="G2" s="84"/>
      <c r="H2" s="84"/>
      <c r="I2" s="84"/>
      <c r="J2" s="84"/>
      <c r="K2" s="84"/>
      <c r="L2" s="84"/>
      <c r="M2" s="84"/>
      <c r="N2" s="81"/>
    </row>
    <row r="3" spans="1:30" ht="21.95" customHeight="1" x14ac:dyDescent="0.2">
      <c r="A3" s="120">
        <v>22</v>
      </c>
      <c r="B3" s="81"/>
      <c r="C3" s="86" t="str">
        <f>label.Headline</f>
        <v>Sales &amp; Risk Questionnaire for Aviation and Space Insurance</v>
      </c>
      <c r="D3" s="86"/>
      <c r="E3" s="86"/>
      <c r="F3" s="86"/>
      <c r="G3" s="86"/>
      <c r="H3" s="86"/>
      <c r="I3" s="86"/>
      <c r="J3" s="86"/>
      <c r="K3" s="86"/>
      <c r="L3" s="86"/>
      <c r="M3" s="86"/>
      <c r="N3" s="81"/>
      <c r="P3" s="99"/>
      <c r="Q3" s="99"/>
      <c r="R3" s="99"/>
      <c r="S3" s="99"/>
      <c r="T3" s="99"/>
      <c r="U3" s="99"/>
    </row>
    <row r="4" spans="1:30" ht="18" customHeight="1" x14ac:dyDescent="0.2">
      <c r="A4" s="120">
        <v>18</v>
      </c>
      <c r="B4" s="81"/>
      <c r="C4" s="83" t="str">
        <f>label.Subtitle</f>
        <v>regarding the Airbus SE supplier scheme</v>
      </c>
      <c r="D4" s="83"/>
      <c r="E4" s="82"/>
      <c r="F4" s="82"/>
      <c r="G4" s="82"/>
      <c r="H4" s="82"/>
      <c r="I4" s="82"/>
      <c r="J4" s="82"/>
      <c r="K4" s="82"/>
      <c r="L4" s="82"/>
      <c r="M4" s="82"/>
      <c r="N4" s="81"/>
      <c r="P4" s="99"/>
      <c r="Q4" s="99"/>
      <c r="R4" s="99"/>
      <c r="S4" s="99"/>
      <c r="T4" s="99"/>
      <c r="U4" s="99"/>
    </row>
    <row r="5" spans="1:30" ht="15" customHeight="1" x14ac:dyDescent="0.2">
      <c r="A5" s="120">
        <v>15</v>
      </c>
      <c r="B5" s="81"/>
      <c r="C5" s="82"/>
      <c r="D5" s="82"/>
      <c r="E5" s="84"/>
      <c r="F5" s="84"/>
      <c r="G5" s="84"/>
      <c r="H5" s="84"/>
      <c r="I5" s="84"/>
      <c r="J5" s="84"/>
      <c r="K5" s="84"/>
      <c r="L5" s="84"/>
      <c r="M5" s="84"/>
      <c r="N5" s="81"/>
      <c r="P5" s="99"/>
      <c r="Q5" s="99"/>
      <c r="R5" s="99"/>
      <c r="S5" s="99"/>
      <c r="T5" s="99"/>
      <c r="U5" s="99"/>
    </row>
    <row r="6" spans="1:30" ht="17.100000000000001" customHeight="1" x14ac:dyDescent="0.2">
      <c r="A6" s="120">
        <v>17</v>
      </c>
      <c r="B6" s="87"/>
      <c r="C6" s="250" t="str">
        <f>label.HintRegNoFurtherInterest</f>
        <v>We kindly ask you to send us back the filled-out questionnaire to airbus.scheme@willistowerswatson.com, even if you choose not to prolongate the contract. Thank you!</v>
      </c>
      <c r="D6" s="250"/>
      <c r="E6" s="250"/>
      <c r="F6" s="250"/>
      <c r="G6" s="250"/>
      <c r="H6" s="250"/>
      <c r="I6" s="250"/>
      <c r="J6" s="250"/>
      <c r="K6" s="250"/>
      <c r="L6" s="250"/>
      <c r="M6" s="250"/>
      <c r="N6" s="87"/>
      <c r="O6" s="3"/>
      <c r="P6" s="99"/>
      <c r="Q6" s="99"/>
      <c r="R6" s="99"/>
      <c r="S6" s="99"/>
      <c r="T6" s="99"/>
      <c r="U6" s="99"/>
      <c r="V6" s="3"/>
      <c r="W6" s="3"/>
      <c r="X6" s="3"/>
      <c r="Y6" s="3"/>
      <c r="Z6" s="3"/>
      <c r="AA6" s="3"/>
      <c r="AB6" s="3"/>
      <c r="AC6" s="3"/>
      <c r="AD6" s="3"/>
    </row>
    <row r="7" spans="1:30" ht="17.100000000000001" customHeight="1" x14ac:dyDescent="0.2">
      <c r="A7" s="120">
        <v>17</v>
      </c>
      <c r="B7" s="87"/>
      <c r="C7" s="250"/>
      <c r="D7" s="250"/>
      <c r="E7" s="250"/>
      <c r="F7" s="250"/>
      <c r="G7" s="250"/>
      <c r="H7" s="250"/>
      <c r="I7" s="250"/>
      <c r="J7" s="250"/>
      <c r="K7" s="250"/>
      <c r="L7" s="250"/>
      <c r="M7" s="250"/>
      <c r="N7" s="87"/>
      <c r="O7" s="3"/>
      <c r="P7" s="99" t="s">
        <v>273</v>
      </c>
      <c r="Q7" s="99"/>
      <c r="R7" s="99"/>
      <c r="S7" s="99"/>
      <c r="T7" s="99" t="s">
        <v>272</v>
      </c>
      <c r="U7" s="99"/>
      <c r="V7" s="3"/>
      <c r="W7" s="3"/>
      <c r="X7" s="3"/>
      <c r="Y7" s="3"/>
      <c r="Z7" s="3"/>
      <c r="AA7" s="3"/>
      <c r="AB7" s="3"/>
      <c r="AC7" s="3"/>
      <c r="AD7" s="3"/>
    </row>
    <row r="8" spans="1:30" ht="9.9499999999999993" customHeight="1" x14ac:dyDescent="0.2">
      <c r="A8" s="120">
        <v>10</v>
      </c>
      <c r="B8" s="87"/>
      <c r="C8" s="88"/>
      <c r="D8" s="88"/>
      <c r="E8" s="89"/>
      <c r="F8" s="89"/>
      <c r="G8" s="89"/>
      <c r="H8" s="89"/>
      <c r="I8" s="89"/>
      <c r="J8" s="89"/>
      <c r="K8" s="89"/>
      <c r="L8" s="89"/>
      <c r="M8" s="89"/>
      <c r="N8" s="87"/>
      <c r="O8" s="3"/>
      <c r="P8" s="99"/>
      <c r="Q8" s="99"/>
      <c r="R8" s="99"/>
      <c r="S8" s="99"/>
      <c r="T8" s="99"/>
      <c r="U8" s="99"/>
      <c r="V8" s="3"/>
      <c r="W8" s="3"/>
      <c r="X8" s="3"/>
      <c r="Y8" s="3"/>
      <c r="Z8" s="3"/>
      <c r="AA8" s="3"/>
      <c r="AB8" s="3"/>
      <c r="AC8" s="3"/>
      <c r="AD8" s="3"/>
    </row>
    <row r="9" spans="1:30" ht="15" customHeight="1" x14ac:dyDescent="0.2">
      <c r="A9" s="120">
        <v>15</v>
      </c>
      <c r="B9" s="87"/>
      <c r="C9" s="281" t="s">
        <v>713</v>
      </c>
      <c r="D9" s="281"/>
      <c r="E9" s="281"/>
      <c r="F9" s="281"/>
      <c r="G9" s="281"/>
      <c r="H9" s="281"/>
      <c r="I9" s="281"/>
      <c r="J9" s="281"/>
      <c r="K9" s="281"/>
      <c r="L9" s="90"/>
      <c r="M9" s="183" t="s">
        <v>53</v>
      </c>
      <c r="N9" s="87"/>
      <c r="O9" s="3"/>
      <c r="P9" s="99" t="s">
        <v>154</v>
      </c>
      <c r="Q9" s="99"/>
      <c r="R9" s="99"/>
      <c r="S9" s="99"/>
      <c r="T9" s="99" t="str">
        <f>val.SelectedLanguage</f>
        <v>English</v>
      </c>
      <c r="U9" s="99"/>
      <c r="V9" s="3"/>
      <c r="W9" s="3"/>
      <c r="X9" s="3"/>
      <c r="Y9" s="3"/>
      <c r="Z9" s="3"/>
      <c r="AA9" s="3"/>
      <c r="AB9" s="3"/>
      <c r="AC9" s="3"/>
      <c r="AD9" s="3"/>
    </row>
    <row r="10" spans="1:30" ht="9.9499999999999993" customHeight="1" x14ac:dyDescent="0.2">
      <c r="A10" s="120">
        <v>10</v>
      </c>
      <c r="B10" s="87"/>
      <c r="C10" s="106"/>
      <c r="D10" s="106"/>
      <c r="E10" s="90"/>
      <c r="F10" s="90"/>
      <c r="G10" s="90"/>
      <c r="H10" s="90"/>
      <c r="I10" s="90"/>
      <c r="J10" s="90"/>
      <c r="K10" s="90"/>
      <c r="L10" s="90"/>
      <c r="M10" s="90"/>
      <c r="N10" s="87"/>
      <c r="O10" s="3"/>
      <c r="P10" s="99"/>
      <c r="Q10" s="99"/>
      <c r="R10" s="99"/>
      <c r="S10" s="99"/>
      <c r="T10" s="99"/>
      <c r="U10" s="99"/>
      <c r="V10" s="3"/>
      <c r="W10" s="3"/>
      <c r="X10" s="3"/>
      <c r="Y10" s="3"/>
      <c r="Z10" s="3"/>
      <c r="AA10" s="3"/>
      <c r="AB10" s="3"/>
      <c r="AC10" s="3"/>
      <c r="AD10" s="3"/>
    </row>
    <row r="11" spans="1:30" ht="17.100000000000001" customHeight="1" x14ac:dyDescent="0.2">
      <c r="A11" s="120">
        <v>17</v>
      </c>
      <c r="B11" s="87" t="s">
        <v>57</v>
      </c>
      <c r="C11" s="107" t="str">
        <f>label.section1.TypeOfQuote</f>
        <v>1. Matter of quote</v>
      </c>
      <c r="D11" s="107"/>
      <c r="E11" s="108"/>
      <c r="F11" s="108"/>
      <c r="G11" s="108"/>
      <c r="H11" s="108"/>
      <c r="I11" s="108"/>
      <c r="J11" s="108"/>
      <c r="K11" s="108"/>
      <c r="L11" s="108"/>
      <c r="M11" s="108"/>
      <c r="N11" s="87"/>
      <c r="O11" s="3"/>
      <c r="P11" s="99"/>
      <c r="Q11" s="99"/>
      <c r="R11" s="99"/>
      <c r="S11" s="99"/>
      <c r="T11" s="99"/>
      <c r="U11" s="99"/>
      <c r="V11" s="3"/>
      <c r="W11" s="3"/>
      <c r="X11" s="3"/>
      <c r="Y11" s="3"/>
      <c r="Z11" s="3"/>
      <c r="AA11" s="3"/>
      <c r="AB11" s="3"/>
      <c r="AC11" s="3"/>
      <c r="AD11" s="3"/>
    </row>
    <row r="12" spans="1:30" ht="6.95" customHeight="1" x14ac:dyDescent="0.2">
      <c r="A12" s="120">
        <v>7</v>
      </c>
      <c r="B12" s="87"/>
      <c r="C12" s="106"/>
      <c r="D12" s="106"/>
      <c r="E12" s="90"/>
      <c r="F12" s="90"/>
      <c r="G12" s="90"/>
      <c r="H12" s="90"/>
      <c r="I12" s="90"/>
      <c r="J12" s="90"/>
      <c r="K12" s="90"/>
      <c r="L12" s="90"/>
      <c r="M12" s="90"/>
      <c r="N12" s="87"/>
      <c r="O12" s="3"/>
      <c r="P12" s="99"/>
      <c r="Q12" s="99"/>
      <c r="R12" s="99"/>
      <c r="S12" s="99"/>
      <c r="T12" s="99"/>
      <c r="U12" s="99"/>
      <c r="V12" s="3"/>
      <c r="W12" s="3"/>
      <c r="X12" s="3"/>
      <c r="Y12" s="3"/>
      <c r="Z12" s="3"/>
      <c r="AA12" s="3"/>
      <c r="AB12" s="3"/>
      <c r="AC12" s="3"/>
      <c r="AD12" s="3"/>
    </row>
    <row r="13" spans="1:30" ht="20.100000000000001" customHeight="1" x14ac:dyDescent="0.2">
      <c r="A13" s="120">
        <v>20</v>
      </c>
      <c r="B13" s="87"/>
      <c r="C13" s="165" t="str">
        <f>label.TypeOfQuote</f>
        <v>Please select the type of quote:</v>
      </c>
      <c r="D13" s="165"/>
      <c r="E13" s="166"/>
      <c r="F13" s="166"/>
      <c r="G13" s="166"/>
      <c r="H13" s="166"/>
      <c r="I13" s="116" t="str">
        <f>IF(K13="","!!! &gt;&gt;","")</f>
        <v>!!! &gt;&gt;</v>
      </c>
      <c r="J13" s="166"/>
      <c r="K13" s="282"/>
      <c r="L13" s="282"/>
      <c r="M13" s="282"/>
      <c r="N13" s="87"/>
      <c r="P13" s="99" t="s">
        <v>274</v>
      </c>
      <c r="Q13" s="99"/>
      <c r="R13" s="99"/>
      <c r="S13" s="99"/>
      <c r="T13" s="99">
        <f>val.Sect1.SelectedTypeOfQuote</f>
        <v>0</v>
      </c>
      <c r="U13" s="99"/>
      <c r="V13" s="3"/>
      <c r="W13" s="3"/>
      <c r="X13" s="3"/>
      <c r="Y13" s="3"/>
      <c r="Z13" s="3"/>
      <c r="AA13" s="3"/>
      <c r="AB13" s="3"/>
      <c r="AC13" s="3"/>
      <c r="AD13" s="3"/>
    </row>
    <row r="14" spans="1:30" ht="15" customHeight="1" x14ac:dyDescent="0.2">
      <c r="A14" s="120">
        <v>15</v>
      </c>
      <c r="B14" s="87"/>
      <c r="C14" s="106"/>
      <c r="D14" s="106"/>
      <c r="E14" s="90"/>
      <c r="F14" s="90"/>
      <c r="G14" s="90"/>
      <c r="H14" s="90"/>
      <c r="I14" s="90"/>
      <c r="J14" s="90"/>
      <c r="K14" s="90"/>
      <c r="L14" s="90"/>
      <c r="M14" s="90"/>
      <c r="N14" s="87"/>
      <c r="O14" s="3"/>
      <c r="P14" s="99"/>
      <c r="Q14" s="99"/>
      <c r="R14" s="99"/>
      <c r="S14" s="99"/>
      <c r="T14" s="99"/>
      <c r="U14" s="99"/>
      <c r="V14" s="3"/>
      <c r="W14" s="3"/>
      <c r="X14" s="3"/>
      <c r="Y14" s="3"/>
      <c r="Z14" s="3"/>
      <c r="AA14" s="3"/>
      <c r="AB14" s="3"/>
      <c r="AC14" s="3"/>
      <c r="AD14" s="3"/>
    </row>
    <row r="15" spans="1:30" ht="17.100000000000001" customHeight="1" x14ac:dyDescent="0.2">
      <c r="A15" s="120">
        <v>17</v>
      </c>
      <c r="B15" s="87" t="s">
        <v>57</v>
      </c>
      <c r="C15" s="107" t="str">
        <f>label.section2.InsuredCompany</f>
        <v>2. Insured company</v>
      </c>
      <c r="D15" s="107"/>
      <c r="E15" s="108"/>
      <c r="F15" s="108"/>
      <c r="G15" s="108"/>
      <c r="H15" s="108"/>
      <c r="I15" s="108"/>
      <c r="J15" s="108"/>
      <c r="K15" s="108"/>
      <c r="L15" s="108"/>
      <c r="M15" s="108"/>
      <c r="N15" s="87"/>
      <c r="O15" s="3"/>
      <c r="P15" s="99"/>
      <c r="Q15" s="99"/>
      <c r="R15" s="99"/>
      <c r="S15" s="99"/>
      <c r="T15" s="99"/>
      <c r="U15" s="99"/>
      <c r="V15" s="3"/>
      <c r="W15" s="3"/>
      <c r="X15" s="3"/>
      <c r="Y15" s="3"/>
      <c r="Z15" s="3"/>
      <c r="AA15" s="3"/>
      <c r="AB15" s="3"/>
      <c r="AC15" s="3"/>
      <c r="AD15" s="3"/>
    </row>
    <row r="16" spans="1:30" ht="5.0999999999999996" customHeight="1" x14ac:dyDescent="0.2">
      <c r="A16" s="120">
        <v>5</v>
      </c>
      <c r="B16" s="87"/>
      <c r="C16" s="90"/>
      <c r="D16" s="90"/>
      <c r="E16" s="90"/>
      <c r="F16" s="90"/>
      <c r="G16" s="90"/>
      <c r="H16" s="90"/>
      <c r="I16" s="90"/>
      <c r="J16" s="90"/>
      <c r="K16" s="90"/>
      <c r="L16" s="90"/>
      <c r="M16" s="90"/>
      <c r="N16" s="87"/>
      <c r="O16" s="3"/>
      <c r="P16" s="99"/>
      <c r="Q16" s="99"/>
      <c r="R16" s="99"/>
      <c r="S16" s="99"/>
      <c r="T16" s="99"/>
      <c r="U16" s="99"/>
      <c r="V16" s="3"/>
      <c r="W16" s="3"/>
      <c r="X16" s="3"/>
      <c r="Y16" s="3"/>
      <c r="Z16" s="3"/>
      <c r="AA16" s="3"/>
      <c r="AB16" s="3"/>
      <c r="AC16" s="3"/>
      <c r="AD16" s="3"/>
    </row>
    <row r="17" spans="1:30" ht="17.100000000000001" customHeight="1" x14ac:dyDescent="0.2">
      <c r="A17" s="120">
        <v>17</v>
      </c>
      <c r="B17" s="87"/>
      <c r="C17" s="90" t="str">
        <f>label.CompanyName</f>
        <v>Company name:</v>
      </c>
      <c r="D17" s="90"/>
      <c r="E17" s="249"/>
      <c r="F17" s="249"/>
      <c r="G17" s="249"/>
      <c r="H17" s="249"/>
      <c r="I17" s="249"/>
      <c r="J17" s="249"/>
      <c r="K17" s="249"/>
      <c r="L17" s="249"/>
      <c r="M17" s="249"/>
      <c r="N17" s="87"/>
      <c r="P17" s="99" t="s">
        <v>275</v>
      </c>
      <c r="Q17" s="99"/>
      <c r="R17" s="99"/>
      <c r="S17" s="99"/>
      <c r="T17" s="99">
        <f>val.Sect2.insured.company.name</f>
        <v>0</v>
      </c>
      <c r="U17" s="99"/>
      <c r="V17" s="3"/>
      <c r="W17" s="3"/>
      <c r="X17" s="3"/>
      <c r="Y17" s="3"/>
      <c r="Z17" s="3"/>
      <c r="AA17" s="3"/>
      <c r="AB17" s="3"/>
      <c r="AC17" s="3"/>
      <c r="AD17" s="3"/>
    </row>
    <row r="18" spans="1:30" ht="5.0999999999999996" customHeight="1" x14ac:dyDescent="0.2">
      <c r="A18" s="120">
        <v>5</v>
      </c>
      <c r="B18" s="87"/>
      <c r="C18" s="90"/>
      <c r="D18" s="90"/>
      <c r="E18" s="90"/>
      <c r="F18" s="90"/>
      <c r="G18" s="90"/>
      <c r="H18" s="90"/>
      <c r="I18" s="90"/>
      <c r="J18" s="90"/>
      <c r="K18" s="90"/>
      <c r="L18" s="90"/>
      <c r="M18" s="90"/>
      <c r="N18" s="87"/>
      <c r="P18" s="99"/>
      <c r="Q18" s="99"/>
      <c r="R18" s="99"/>
      <c r="S18" s="99"/>
      <c r="T18" s="99"/>
      <c r="U18" s="99"/>
      <c r="V18" s="3"/>
      <c r="W18" s="3"/>
      <c r="X18" s="3"/>
      <c r="Y18" s="3"/>
      <c r="Z18" s="3"/>
      <c r="AA18" s="3"/>
      <c r="AB18" s="3"/>
      <c r="AC18" s="3"/>
      <c r="AD18" s="3"/>
    </row>
    <row r="19" spans="1:30" ht="17.100000000000001" customHeight="1" x14ac:dyDescent="0.2">
      <c r="A19" s="120">
        <v>17</v>
      </c>
      <c r="B19" s="87"/>
      <c r="C19" s="90" t="str">
        <f>label.Street_No</f>
        <v>Street No.:</v>
      </c>
      <c r="D19" s="90"/>
      <c r="E19" s="283"/>
      <c r="F19" s="269"/>
      <c r="G19" s="269"/>
      <c r="H19" s="269"/>
      <c r="I19" s="269"/>
      <c r="J19" s="269"/>
      <c r="K19" s="269"/>
      <c r="L19" s="269"/>
      <c r="M19" s="269"/>
      <c r="N19" s="87"/>
      <c r="P19" s="99" t="s">
        <v>276</v>
      </c>
      <c r="Q19" s="99"/>
      <c r="R19" s="99"/>
      <c r="S19" s="99"/>
      <c r="T19" s="99">
        <f>val.Sect2.insured.company.street</f>
        <v>0</v>
      </c>
      <c r="U19" s="99"/>
      <c r="V19" s="3"/>
      <c r="W19" s="3"/>
      <c r="X19" s="3"/>
      <c r="Y19" s="3"/>
      <c r="Z19" s="3"/>
      <c r="AA19" s="3"/>
      <c r="AB19" s="3"/>
      <c r="AC19" s="3"/>
      <c r="AD19" s="3"/>
    </row>
    <row r="20" spans="1:30" ht="5.0999999999999996" customHeight="1" x14ac:dyDescent="0.2">
      <c r="A20" s="120">
        <v>5</v>
      </c>
      <c r="B20" s="87"/>
      <c r="C20" s="90"/>
      <c r="D20" s="90"/>
      <c r="E20" s="90"/>
      <c r="F20" s="90"/>
      <c r="G20" s="90"/>
      <c r="H20" s="90"/>
      <c r="I20" s="90"/>
      <c r="J20" s="90"/>
      <c r="K20" s="90"/>
      <c r="L20" s="90"/>
      <c r="M20" s="90"/>
      <c r="N20" s="87"/>
      <c r="P20" s="99"/>
      <c r="Q20" s="99"/>
      <c r="R20" s="99"/>
      <c r="S20" s="99"/>
      <c r="T20" s="99"/>
      <c r="U20" s="99"/>
      <c r="V20" s="3"/>
      <c r="W20" s="3"/>
      <c r="X20" s="3"/>
      <c r="Y20" s="3"/>
      <c r="Z20" s="3"/>
      <c r="AA20" s="3"/>
      <c r="AB20" s="3"/>
      <c r="AC20" s="3"/>
      <c r="AD20" s="3"/>
    </row>
    <row r="21" spans="1:30" ht="17.100000000000001" customHeight="1" x14ac:dyDescent="0.2">
      <c r="A21" s="120">
        <v>17</v>
      </c>
      <c r="B21" s="87"/>
      <c r="C21" s="90" t="str">
        <f>label.ZIP</f>
        <v>ZIP:</v>
      </c>
      <c r="D21" s="90"/>
      <c r="E21" s="251"/>
      <c r="F21" s="249"/>
      <c r="G21" s="90" t="str">
        <f>label.City</f>
        <v>City:</v>
      </c>
      <c r="H21" s="269"/>
      <c r="I21" s="269"/>
      <c r="J21" s="269"/>
      <c r="K21" s="269"/>
      <c r="L21" s="269"/>
      <c r="M21" s="269"/>
      <c r="N21" s="87"/>
      <c r="P21" s="99" t="s">
        <v>277</v>
      </c>
      <c r="Q21" s="99" t="s">
        <v>278</v>
      </c>
      <c r="R21" s="99"/>
      <c r="S21" s="99"/>
      <c r="T21" s="99">
        <f>val.Sect2.insured.company.ZIP</f>
        <v>0</v>
      </c>
      <c r="U21" s="99">
        <f>val.Sect2.insured.company.City</f>
        <v>0</v>
      </c>
      <c r="V21" s="3"/>
      <c r="W21" s="3"/>
      <c r="X21" s="3"/>
      <c r="Y21" s="3"/>
      <c r="Z21" s="3"/>
      <c r="AA21" s="3"/>
      <c r="AB21" s="3"/>
      <c r="AC21" s="3"/>
      <c r="AD21" s="3"/>
    </row>
    <row r="22" spans="1:30" ht="5.0999999999999996" customHeight="1" x14ac:dyDescent="0.2">
      <c r="A22" s="120">
        <v>5</v>
      </c>
      <c r="B22" s="87"/>
      <c r="C22" s="90"/>
      <c r="D22" s="90"/>
      <c r="E22" s="90"/>
      <c r="F22" s="90"/>
      <c r="G22" s="90"/>
      <c r="H22" s="90"/>
      <c r="I22" s="90"/>
      <c r="J22" s="90"/>
      <c r="K22" s="90"/>
      <c r="L22" s="90"/>
      <c r="M22" s="90"/>
      <c r="N22" s="87"/>
      <c r="P22" s="99"/>
      <c r="Q22" s="99"/>
      <c r="R22" s="99"/>
      <c r="S22" s="99"/>
      <c r="T22" s="99"/>
      <c r="U22" s="99"/>
      <c r="V22" s="3"/>
      <c r="W22" s="3"/>
      <c r="X22" s="3"/>
      <c r="Y22" s="3"/>
      <c r="Z22" s="3"/>
      <c r="AA22" s="3"/>
      <c r="AB22" s="3"/>
      <c r="AC22" s="3"/>
      <c r="AD22" s="3"/>
    </row>
    <row r="23" spans="1:30" ht="17.100000000000001" customHeight="1" x14ac:dyDescent="0.2">
      <c r="A23" s="120">
        <v>17</v>
      </c>
      <c r="B23" s="87"/>
      <c r="C23" s="90" t="str">
        <f>label.Country</f>
        <v>Country:</v>
      </c>
      <c r="D23" s="90"/>
      <c r="E23" s="200"/>
      <c r="F23" s="200"/>
      <c r="H23" s="90"/>
      <c r="I23" s="90"/>
      <c r="J23" s="90"/>
      <c r="K23" s="90"/>
      <c r="L23" s="90"/>
      <c r="M23" s="90"/>
      <c r="N23" s="87"/>
      <c r="P23" s="99" t="s">
        <v>279</v>
      </c>
      <c r="Q23" s="99" t="s">
        <v>280</v>
      </c>
      <c r="R23" s="99"/>
      <c r="S23" s="99"/>
      <c r="T23" s="99">
        <f>val.Sect2.insured.company.country</f>
        <v>0</v>
      </c>
      <c r="U23" s="99" t="e">
        <f>val.Sect2.insured.company.countryOUTPUT</f>
        <v>#N/A</v>
      </c>
      <c r="V23" s="3"/>
      <c r="W23" s="3"/>
      <c r="X23" s="3"/>
      <c r="Y23" s="3"/>
      <c r="Z23" s="3"/>
      <c r="AA23" s="3"/>
      <c r="AB23" s="3"/>
      <c r="AC23" s="3"/>
      <c r="AD23" s="3"/>
    </row>
    <row r="24" spans="1:30" ht="15" customHeight="1" x14ac:dyDescent="0.2">
      <c r="A24" s="120">
        <v>15</v>
      </c>
      <c r="B24" s="87"/>
      <c r="C24" s="90"/>
      <c r="D24" s="90"/>
      <c r="E24" s="194" t="e">
        <f>VLOOKUP(E23,areaSV.Countries,3,FALSE)</f>
        <v>#N/A</v>
      </c>
      <c r="F24" s="90"/>
      <c r="G24" s="90"/>
      <c r="H24" s="90"/>
      <c r="I24" s="90"/>
      <c r="J24" s="90"/>
      <c r="K24" s="90"/>
      <c r="L24" s="90"/>
      <c r="M24" s="90"/>
      <c r="N24" s="87"/>
      <c r="O24" s="3"/>
      <c r="P24" s="99"/>
      <c r="Q24" s="99"/>
      <c r="R24" s="99"/>
      <c r="S24" s="99"/>
      <c r="T24" s="99"/>
      <c r="U24" s="99"/>
      <c r="V24" s="3"/>
      <c r="W24" s="3"/>
      <c r="X24" s="3"/>
      <c r="Y24" s="3"/>
      <c r="Z24" s="3"/>
      <c r="AA24" s="3"/>
      <c r="AB24" s="3"/>
      <c r="AC24" s="3"/>
      <c r="AD24" s="3"/>
    </row>
    <row r="25" spans="1:30" ht="17.100000000000001" customHeight="1" x14ac:dyDescent="0.2">
      <c r="A25" s="120">
        <v>17</v>
      </c>
      <c r="B25" s="87" t="s">
        <v>57</v>
      </c>
      <c r="C25" s="107" t="str">
        <f>label.section2_1.InsuredCompanyContact</f>
        <v>2.1 Contact (client or representative)</v>
      </c>
      <c r="D25" s="107"/>
      <c r="E25" s="108"/>
      <c r="F25" s="108"/>
      <c r="G25" s="108"/>
      <c r="H25" s="108"/>
      <c r="I25" s="108"/>
      <c r="J25" s="108"/>
      <c r="K25" s="108"/>
      <c r="L25" s="108"/>
      <c r="M25" s="108"/>
      <c r="N25" s="87"/>
      <c r="O25" s="3"/>
      <c r="P25" s="99"/>
      <c r="Q25" s="99"/>
      <c r="R25" s="99"/>
      <c r="S25" s="99"/>
      <c r="T25" s="99"/>
      <c r="U25" s="99"/>
      <c r="V25" s="3"/>
      <c r="W25" s="3"/>
      <c r="X25" s="3"/>
      <c r="Y25" s="3"/>
      <c r="Z25" s="3"/>
      <c r="AA25" s="3"/>
      <c r="AB25" s="3"/>
      <c r="AC25" s="3"/>
      <c r="AD25" s="3"/>
    </row>
    <row r="26" spans="1:30" ht="5.0999999999999996" customHeight="1" x14ac:dyDescent="0.2">
      <c r="A26" s="120">
        <v>5</v>
      </c>
      <c r="B26" s="87"/>
      <c r="C26" s="90"/>
      <c r="D26" s="90"/>
      <c r="E26" s="90"/>
      <c r="F26" s="90"/>
      <c r="G26" s="90"/>
      <c r="H26" s="90"/>
      <c r="I26" s="90"/>
      <c r="J26" s="90"/>
      <c r="K26" s="90"/>
      <c r="L26" s="90"/>
      <c r="M26" s="90"/>
      <c r="N26" s="87"/>
      <c r="O26" s="3"/>
      <c r="P26" s="99"/>
      <c r="Q26" s="99"/>
      <c r="R26" s="99"/>
      <c r="S26" s="99"/>
      <c r="T26" s="99"/>
      <c r="U26" s="99"/>
      <c r="V26" s="3"/>
      <c r="W26" s="3"/>
      <c r="X26" s="3"/>
      <c r="Y26" s="3"/>
      <c r="Z26" s="3"/>
      <c r="AA26" s="3"/>
      <c r="AB26" s="3"/>
      <c r="AC26" s="3"/>
      <c r="AD26" s="3"/>
    </row>
    <row r="27" spans="1:30" ht="17.100000000000001" customHeight="1" x14ac:dyDescent="0.2">
      <c r="A27" s="120">
        <v>17</v>
      </c>
      <c r="B27" s="87"/>
      <c r="C27" s="90" t="str">
        <f>label.Contact.Lastname</f>
        <v>Last name:</v>
      </c>
      <c r="D27" s="90"/>
      <c r="E27" s="269"/>
      <c r="F27" s="269"/>
      <c r="G27" s="90" t="str">
        <f>label.Contact.Firstname</f>
        <v>First name:</v>
      </c>
      <c r="H27" s="269"/>
      <c r="I27" s="269"/>
      <c r="J27" s="269"/>
      <c r="K27" s="90" t="str">
        <f>label.Salutation</f>
        <v>Title:</v>
      </c>
      <c r="L27" s="90"/>
      <c r="M27" s="199"/>
      <c r="N27" s="87"/>
      <c r="O27" s="3"/>
      <c r="P27" s="99" t="s">
        <v>281</v>
      </c>
      <c r="Q27" s="99" t="s">
        <v>282</v>
      </c>
      <c r="R27" s="99" t="s">
        <v>283</v>
      </c>
      <c r="S27" s="99"/>
      <c r="T27" s="99">
        <f>val.Sect2_1.insured.company.contactname</f>
        <v>0</v>
      </c>
      <c r="U27" s="99">
        <f>val.Sect2_1.insured.company.contactprename</f>
        <v>0</v>
      </c>
      <c r="V27" s="99">
        <f>val.Sect2_1.insured.company.contactgreeting</f>
        <v>0</v>
      </c>
      <c r="W27" s="3"/>
      <c r="X27" s="3"/>
      <c r="Y27" s="3"/>
      <c r="Z27" s="3"/>
      <c r="AA27" s="3"/>
      <c r="AB27" s="3"/>
      <c r="AC27" s="3"/>
      <c r="AD27" s="3"/>
    </row>
    <row r="28" spans="1:30" ht="5.0999999999999996" customHeight="1" x14ac:dyDescent="0.2">
      <c r="A28" s="120">
        <v>5</v>
      </c>
      <c r="B28" s="87"/>
      <c r="C28" s="90"/>
      <c r="D28" s="90"/>
      <c r="E28" s="90"/>
      <c r="F28" s="90"/>
      <c r="G28" s="90"/>
      <c r="H28" s="90"/>
      <c r="I28" s="90"/>
      <c r="J28" s="90"/>
      <c r="K28" s="90"/>
      <c r="L28" s="90"/>
      <c r="M28" s="90"/>
      <c r="N28" s="87"/>
      <c r="O28" s="3"/>
      <c r="P28" s="99"/>
      <c r="Q28" s="99"/>
      <c r="R28" s="99"/>
      <c r="S28" s="99"/>
      <c r="T28" s="99"/>
      <c r="U28" s="99"/>
      <c r="V28" s="3"/>
      <c r="W28" s="3"/>
      <c r="X28" s="3"/>
      <c r="Y28" s="3"/>
      <c r="Z28" s="3"/>
      <c r="AA28" s="3"/>
      <c r="AB28" s="3"/>
      <c r="AC28" s="3"/>
      <c r="AD28" s="3"/>
    </row>
    <row r="29" spans="1:30" ht="17.100000000000001" customHeight="1" x14ac:dyDescent="0.2">
      <c r="A29" s="120">
        <v>17</v>
      </c>
      <c r="B29" s="87"/>
      <c r="C29" s="90" t="str">
        <f>label.ContactCompany</f>
        <v>Company (different from 2.):</v>
      </c>
      <c r="D29" s="90"/>
      <c r="E29" s="249"/>
      <c r="F29" s="249"/>
      <c r="G29" s="249"/>
      <c r="H29" s="249"/>
      <c r="I29" s="249"/>
      <c r="J29" s="249"/>
      <c r="K29" s="90" t="str">
        <f>label.ContactType</f>
        <v>Type of contact:</v>
      </c>
      <c r="L29" s="90"/>
      <c r="M29" s="199"/>
      <c r="N29" s="87"/>
      <c r="P29" s="99" t="s">
        <v>284</v>
      </c>
      <c r="Q29" s="99"/>
      <c r="R29" s="99"/>
      <c r="S29" s="99"/>
      <c r="T29" s="99">
        <f>val.Sect2_1.insured.company.ALTname</f>
        <v>0</v>
      </c>
      <c r="U29" s="99"/>
      <c r="V29" s="3"/>
      <c r="W29" s="3"/>
      <c r="X29" s="3"/>
      <c r="Y29" s="3"/>
      <c r="Z29" s="3"/>
      <c r="AA29" s="3"/>
      <c r="AB29" s="3"/>
      <c r="AC29" s="3"/>
      <c r="AD29" s="3"/>
    </row>
    <row r="30" spans="1:30" ht="5.0999999999999996" customHeight="1" x14ac:dyDescent="0.2">
      <c r="A30" s="120">
        <v>5</v>
      </c>
      <c r="B30" s="87"/>
      <c r="C30" s="90"/>
      <c r="D30" s="90"/>
      <c r="E30" s="90"/>
      <c r="F30" s="90"/>
      <c r="G30" s="90"/>
      <c r="H30" s="90"/>
      <c r="I30" s="90"/>
      <c r="J30" s="90"/>
      <c r="K30" s="90"/>
      <c r="L30" s="90"/>
      <c r="M30" s="90"/>
      <c r="N30" s="87"/>
      <c r="P30" s="99"/>
      <c r="Q30" s="99"/>
      <c r="R30" s="99"/>
      <c r="S30" s="99"/>
      <c r="T30" s="99"/>
      <c r="U30" s="99"/>
      <c r="V30" s="3"/>
      <c r="W30" s="3"/>
      <c r="X30" s="3"/>
      <c r="Y30" s="3"/>
      <c r="Z30" s="3"/>
      <c r="AA30" s="3"/>
      <c r="AB30" s="3"/>
      <c r="AC30" s="3"/>
      <c r="AD30" s="3"/>
    </row>
    <row r="31" spans="1:30" ht="17.100000000000001" customHeight="1" x14ac:dyDescent="0.2">
      <c r="A31" s="120">
        <v>17</v>
      </c>
      <c r="B31" s="87"/>
      <c r="C31" s="90" t="str">
        <f>label.ContactPhone</f>
        <v>Phone:</v>
      </c>
      <c r="D31" s="90"/>
      <c r="E31" s="269"/>
      <c r="F31" s="269"/>
      <c r="G31" s="90" t="str">
        <f>label.ContactMail</f>
        <v>E-Mail:</v>
      </c>
      <c r="H31" s="270"/>
      <c r="I31" s="271"/>
      <c r="J31" s="271"/>
      <c r="K31" s="271"/>
      <c r="L31" s="271"/>
      <c r="M31" s="271"/>
      <c r="N31" s="87"/>
      <c r="P31" s="99" t="s">
        <v>285</v>
      </c>
      <c r="Q31" s="99" t="s">
        <v>286</v>
      </c>
      <c r="R31" s="99"/>
      <c r="S31" s="99"/>
      <c r="T31" s="99">
        <f>val.Sect2_1.insured.company.contacttelephone</f>
        <v>0</v>
      </c>
      <c r="U31" s="99" t="str">
        <f>LOWER(val.Sect2_1.insured.company.contactmail)</f>
        <v/>
      </c>
      <c r="V31" s="3"/>
      <c r="W31" s="3"/>
      <c r="Y31" s="3"/>
      <c r="AB31" s="3"/>
      <c r="AC31" s="3"/>
      <c r="AD31" s="3"/>
    </row>
    <row r="32" spans="1:30" ht="15" customHeight="1" x14ac:dyDescent="0.2">
      <c r="A32" s="120">
        <v>15</v>
      </c>
      <c r="B32" s="87"/>
      <c r="C32" s="89"/>
      <c r="D32" s="89"/>
      <c r="E32" s="97"/>
      <c r="F32" s="97"/>
      <c r="G32" s="97"/>
      <c r="H32" s="97"/>
      <c r="I32" s="97"/>
      <c r="J32" s="97"/>
      <c r="K32" s="97"/>
      <c r="L32" s="97"/>
      <c r="M32" s="89"/>
      <c r="N32" s="87"/>
      <c r="P32" s="99"/>
      <c r="Q32" s="99"/>
      <c r="R32" s="99"/>
      <c r="S32" s="99"/>
      <c r="T32" s="99"/>
      <c r="U32" s="99"/>
      <c r="V32" s="3"/>
      <c r="W32" s="3"/>
      <c r="X32" s="3"/>
      <c r="Y32" s="3"/>
      <c r="Z32" s="3"/>
      <c r="AA32" s="3"/>
      <c r="AB32" s="3"/>
      <c r="AC32" s="3"/>
      <c r="AD32" s="3"/>
    </row>
    <row r="33" spans="1:30" ht="17.100000000000001" customHeight="1" x14ac:dyDescent="0.2">
      <c r="A33" s="120">
        <v>17</v>
      </c>
      <c r="B33" s="87" t="s">
        <v>57</v>
      </c>
      <c r="C33" s="85" t="str">
        <f>label.section2_2.BillingAddress</f>
        <v>2.2 Billing address (if different to 1.)</v>
      </c>
      <c r="D33" s="85"/>
      <c r="E33" s="91"/>
      <c r="F33" s="91"/>
      <c r="G33" s="91"/>
      <c r="H33" s="91"/>
      <c r="I33" s="91"/>
      <c r="J33" s="91"/>
      <c r="K33" s="91"/>
      <c r="L33" s="91"/>
      <c r="M33" s="91"/>
      <c r="N33" s="87"/>
      <c r="P33" s="99"/>
      <c r="Q33" s="99"/>
      <c r="R33" s="99"/>
      <c r="S33" s="99"/>
      <c r="T33" s="99"/>
      <c r="U33" s="99"/>
      <c r="V33" s="3"/>
      <c r="W33" s="3"/>
      <c r="X33" s="3"/>
      <c r="Y33" s="3"/>
      <c r="Z33" s="3"/>
      <c r="AA33" s="3"/>
      <c r="AB33" s="3"/>
      <c r="AC33" s="3"/>
      <c r="AD33" s="3"/>
    </row>
    <row r="34" spans="1:30" ht="5.0999999999999996" customHeight="1" x14ac:dyDescent="0.2">
      <c r="A34" s="120">
        <v>5</v>
      </c>
      <c r="B34" s="87"/>
      <c r="C34" s="89"/>
      <c r="D34" s="89"/>
      <c r="E34" s="89"/>
      <c r="F34" s="89"/>
      <c r="G34" s="89"/>
      <c r="H34" s="89"/>
      <c r="I34" s="89"/>
      <c r="J34" s="89"/>
      <c r="K34" s="89"/>
      <c r="L34" s="89"/>
      <c r="M34" s="89"/>
      <c r="N34" s="87"/>
      <c r="P34" s="99"/>
      <c r="Q34" s="99"/>
      <c r="R34" s="99"/>
      <c r="S34" s="99"/>
      <c r="T34" s="99"/>
      <c r="U34" s="99"/>
      <c r="V34" s="3"/>
      <c r="W34" s="3"/>
      <c r="X34" s="3"/>
      <c r="Y34" s="3"/>
      <c r="Z34" s="3"/>
      <c r="AA34" s="3"/>
      <c r="AB34" s="3"/>
      <c r="AC34" s="3"/>
      <c r="AD34" s="3"/>
    </row>
    <row r="35" spans="1:30" ht="17.100000000000001" customHeight="1" x14ac:dyDescent="0.2">
      <c r="A35" s="120">
        <v>17</v>
      </c>
      <c r="B35" s="87"/>
      <c r="C35" s="89" t="str">
        <f>label.CompanyName</f>
        <v>Company name:</v>
      </c>
      <c r="D35" s="89"/>
      <c r="E35" s="249"/>
      <c r="F35" s="249"/>
      <c r="G35" s="249"/>
      <c r="H35" s="249"/>
      <c r="I35" s="249"/>
      <c r="J35" s="249"/>
      <c r="K35" s="249"/>
      <c r="L35" s="249"/>
      <c r="M35" s="249"/>
      <c r="N35" s="87"/>
      <c r="P35" s="99" t="s">
        <v>287</v>
      </c>
      <c r="Q35" s="99"/>
      <c r="R35" s="99"/>
      <c r="S35" s="99"/>
      <c r="T35" s="99">
        <f>val.Sect2_2.billed.company.name</f>
        <v>0</v>
      </c>
      <c r="U35" s="99"/>
      <c r="V35" s="3"/>
      <c r="W35" s="3"/>
      <c r="X35" s="3"/>
      <c r="Y35" s="3"/>
      <c r="Z35" s="3"/>
      <c r="AA35" s="3"/>
      <c r="AB35" s="3"/>
      <c r="AC35" s="3"/>
      <c r="AD35" s="3"/>
    </row>
    <row r="36" spans="1:30" ht="5.0999999999999996" customHeight="1" x14ac:dyDescent="0.2">
      <c r="A36" s="120">
        <v>5</v>
      </c>
      <c r="B36" s="87"/>
      <c r="C36" s="90"/>
      <c r="D36" s="90"/>
      <c r="E36" s="90"/>
      <c r="F36" s="90"/>
      <c r="G36" s="90"/>
      <c r="H36" s="90"/>
      <c r="I36" s="90"/>
      <c r="J36" s="90"/>
      <c r="K36" s="90"/>
      <c r="L36" s="90"/>
      <c r="M36" s="90"/>
      <c r="N36" s="87"/>
      <c r="P36" s="99"/>
      <c r="Q36" s="99"/>
      <c r="R36" s="99"/>
      <c r="S36" s="99"/>
      <c r="T36" s="99"/>
      <c r="U36" s="99"/>
      <c r="V36" s="3"/>
      <c r="W36" s="3"/>
      <c r="X36" s="3"/>
      <c r="Y36" s="3"/>
      <c r="Z36" s="3"/>
      <c r="AA36" s="3"/>
      <c r="AB36" s="3"/>
      <c r="AC36" s="3"/>
      <c r="AD36" s="3"/>
    </row>
    <row r="37" spans="1:30" ht="17.100000000000001" customHeight="1" x14ac:dyDescent="0.2">
      <c r="A37" s="120">
        <v>17</v>
      </c>
      <c r="B37" s="87"/>
      <c r="C37" s="89" t="str">
        <f>label.Street_No</f>
        <v>Street No.:</v>
      </c>
      <c r="D37" s="89"/>
      <c r="E37" s="249"/>
      <c r="F37" s="249"/>
      <c r="G37" s="249"/>
      <c r="H37" s="249"/>
      <c r="I37" s="249"/>
      <c r="J37" s="249"/>
      <c r="K37" s="249"/>
      <c r="L37" s="249"/>
      <c r="M37" s="249"/>
      <c r="N37" s="87"/>
      <c r="P37" s="99" t="s">
        <v>288</v>
      </c>
      <c r="Q37" s="99"/>
      <c r="R37" s="99"/>
      <c r="S37" s="99"/>
      <c r="T37" s="99">
        <f>val.Sect2_2.billed.company.street</f>
        <v>0</v>
      </c>
      <c r="U37" s="99"/>
      <c r="V37" s="3"/>
      <c r="W37" s="3"/>
      <c r="X37" s="3"/>
      <c r="Y37" s="3"/>
      <c r="Z37" s="3"/>
      <c r="AA37" s="3"/>
      <c r="AB37" s="3"/>
      <c r="AC37" s="3"/>
      <c r="AD37" s="3"/>
    </row>
    <row r="38" spans="1:30" ht="5.0999999999999996" customHeight="1" x14ac:dyDescent="0.2">
      <c r="A38" s="120">
        <v>5</v>
      </c>
      <c r="B38" s="87"/>
      <c r="C38" s="90"/>
      <c r="D38" s="90"/>
      <c r="E38" s="90"/>
      <c r="F38" s="90"/>
      <c r="G38" s="90"/>
      <c r="H38" s="90"/>
      <c r="I38" s="90"/>
      <c r="J38" s="90"/>
      <c r="K38" s="90"/>
      <c r="L38" s="90"/>
      <c r="M38" s="90"/>
      <c r="N38" s="87"/>
      <c r="P38" s="99"/>
      <c r="Q38" s="99"/>
      <c r="R38" s="99"/>
      <c r="S38" s="99"/>
      <c r="T38" s="99"/>
      <c r="U38" s="99"/>
      <c r="V38" s="3"/>
      <c r="W38" s="3"/>
      <c r="X38" s="3"/>
      <c r="Y38" s="3"/>
      <c r="Z38" s="3"/>
      <c r="AA38" s="3"/>
      <c r="AB38" s="3"/>
      <c r="AC38" s="3"/>
      <c r="AD38" s="3"/>
    </row>
    <row r="39" spans="1:30" ht="17.100000000000001" customHeight="1" x14ac:dyDescent="0.2">
      <c r="A39" s="120">
        <v>17</v>
      </c>
      <c r="B39" s="87"/>
      <c r="C39" s="89" t="str">
        <f>label.ZIP</f>
        <v>ZIP:</v>
      </c>
      <c r="D39" s="89"/>
      <c r="E39" s="249"/>
      <c r="F39" s="249"/>
      <c r="G39" s="89" t="str">
        <f>label.City</f>
        <v>City:</v>
      </c>
      <c r="H39" s="249"/>
      <c r="I39" s="249"/>
      <c r="J39" s="249"/>
      <c r="K39" s="249"/>
      <c r="L39" s="249"/>
      <c r="M39" s="249"/>
      <c r="N39" s="87"/>
      <c r="P39" s="99" t="s">
        <v>289</v>
      </c>
      <c r="Q39" s="99" t="s">
        <v>290</v>
      </c>
      <c r="R39" s="99"/>
      <c r="S39" s="99"/>
      <c r="T39" s="99">
        <f>val.Sect2_2.billed.company.ZIP</f>
        <v>0</v>
      </c>
      <c r="U39" s="99">
        <f>val.Sect2_2.billed.company.City</f>
        <v>0</v>
      </c>
      <c r="V39" s="3"/>
      <c r="W39" s="3"/>
      <c r="X39" s="3"/>
      <c r="Y39" s="3"/>
      <c r="Z39" s="3"/>
      <c r="AA39" s="3"/>
      <c r="AB39" s="3"/>
      <c r="AC39" s="3"/>
      <c r="AD39" s="3"/>
    </row>
    <row r="40" spans="1:30" ht="5.0999999999999996" customHeight="1" x14ac:dyDescent="0.2">
      <c r="A40" s="120">
        <v>5</v>
      </c>
      <c r="B40" s="87"/>
      <c r="C40" s="90"/>
      <c r="D40" s="90"/>
      <c r="E40" s="90"/>
      <c r="F40" s="90"/>
      <c r="G40" s="90"/>
      <c r="H40" s="90"/>
      <c r="I40" s="90"/>
      <c r="J40" s="90"/>
      <c r="K40" s="90"/>
      <c r="L40" s="90"/>
      <c r="M40" s="90"/>
      <c r="N40" s="87"/>
      <c r="P40" s="99"/>
      <c r="Q40" s="99"/>
      <c r="R40" s="99"/>
      <c r="S40" s="99"/>
      <c r="T40" s="99"/>
      <c r="U40" s="99"/>
      <c r="V40" s="3"/>
      <c r="W40" s="3"/>
      <c r="X40" s="3"/>
      <c r="Y40" s="3"/>
      <c r="Z40" s="3"/>
      <c r="AA40" s="3"/>
      <c r="AB40" s="3"/>
      <c r="AC40" s="3"/>
      <c r="AD40" s="3"/>
    </row>
    <row r="41" spans="1:30" ht="17.100000000000001" customHeight="1" x14ac:dyDescent="0.2">
      <c r="A41" s="120">
        <v>17</v>
      </c>
      <c r="B41" s="87"/>
      <c r="C41" s="89" t="str">
        <f>label.Country</f>
        <v>Country:</v>
      </c>
      <c r="D41" s="89"/>
      <c r="E41" s="200"/>
      <c r="F41" s="200"/>
      <c r="G41" s="90" t="str">
        <f>label.ContactMail</f>
        <v>E-Mail:</v>
      </c>
      <c r="H41" s="270"/>
      <c r="I41" s="271"/>
      <c r="J41" s="271"/>
      <c r="K41" s="271"/>
      <c r="L41" s="271"/>
      <c r="M41" s="271"/>
      <c r="N41" s="87"/>
      <c r="P41" s="99" t="s">
        <v>291</v>
      </c>
      <c r="Q41" s="99" t="s">
        <v>292</v>
      </c>
      <c r="R41" s="99"/>
      <c r="S41" s="99"/>
      <c r="T41" s="99">
        <f>val.Sect2_2.billed.company.country</f>
        <v>0</v>
      </c>
      <c r="U41" s="99" t="e">
        <f>val.Sect2_2.billed.company.countryOUTPUT</f>
        <v>#N/A</v>
      </c>
      <c r="V41" s="3"/>
      <c r="W41" s="3"/>
      <c r="X41" s="3"/>
      <c r="Y41" s="3"/>
      <c r="Z41" s="3"/>
      <c r="AA41" s="3"/>
      <c r="AB41" s="3"/>
      <c r="AC41" s="3"/>
      <c r="AD41" s="3"/>
    </row>
    <row r="42" spans="1:30" ht="15" customHeight="1" x14ac:dyDescent="0.2">
      <c r="A42" s="120">
        <v>15</v>
      </c>
      <c r="B42" s="87"/>
      <c r="C42" s="89"/>
      <c r="D42" s="89"/>
      <c r="E42" s="195" t="e">
        <f>VLOOKUP(E41,areaSV.Countries,3,FALSE)</f>
        <v>#N/A</v>
      </c>
      <c r="F42" s="97"/>
      <c r="G42" s="97"/>
      <c r="H42" s="97"/>
      <c r="I42" s="97"/>
      <c r="J42" s="97"/>
      <c r="K42" s="97"/>
      <c r="L42" s="97"/>
      <c r="M42" s="89"/>
      <c r="N42" s="87"/>
      <c r="P42" s="99"/>
      <c r="Q42" s="99"/>
      <c r="R42" s="99"/>
      <c r="S42" s="99"/>
      <c r="T42" s="99"/>
      <c r="U42" s="99"/>
      <c r="V42" s="3"/>
      <c r="W42" s="3"/>
      <c r="X42" s="3"/>
      <c r="Y42" s="3"/>
      <c r="Z42" s="3"/>
      <c r="AA42" s="3"/>
      <c r="AB42" s="3"/>
      <c r="AC42" s="3"/>
      <c r="AD42" s="3"/>
    </row>
    <row r="43" spans="1:30" ht="17.100000000000001" customHeight="1" x14ac:dyDescent="0.2">
      <c r="A43" s="120">
        <v>17</v>
      </c>
      <c r="B43" s="87" t="s">
        <v>57</v>
      </c>
      <c r="C43" s="85" t="str">
        <f>label.section3.BusinessActivities</f>
        <v>3. Business activities</v>
      </c>
      <c r="D43" s="85"/>
      <c r="E43" s="91"/>
      <c r="F43" s="91"/>
      <c r="G43" s="91"/>
      <c r="H43" s="91"/>
      <c r="I43" s="91"/>
      <c r="J43" s="91"/>
      <c r="K43" s="91"/>
      <c r="L43" s="91"/>
      <c r="M43" s="91"/>
      <c r="N43" s="87"/>
      <c r="P43" s="99"/>
      <c r="Q43" s="99"/>
      <c r="R43" s="99"/>
      <c r="S43" s="99"/>
      <c r="T43" s="99"/>
      <c r="U43" s="99"/>
      <c r="V43" s="3"/>
      <c r="W43" s="3"/>
      <c r="X43" s="3"/>
      <c r="Y43" s="3"/>
      <c r="Z43" s="3"/>
      <c r="AA43" s="3"/>
      <c r="AB43" s="3"/>
      <c r="AC43" s="3"/>
      <c r="AD43" s="3"/>
    </row>
    <row r="44" spans="1:30" ht="5.0999999999999996" customHeight="1" x14ac:dyDescent="0.2">
      <c r="A44" s="120">
        <v>5</v>
      </c>
      <c r="B44" s="87"/>
      <c r="C44" s="89"/>
      <c r="D44" s="89"/>
      <c r="E44" s="97"/>
      <c r="F44" s="97"/>
      <c r="G44" s="97"/>
      <c r="H44" s="97"/>
      <c r="I44" s="97"/>
      <c r="J44" s="97"/>
      <c r="K44" s="97"/>
      <c r="L44" s="97"/>
      <c r="M44" s="89"/>
      <c r="N44" s="87"/>
      <c r="P44" s="99"/>
      <c r="Q44" s="99"/>
      <c r="R44" s="99"/>
      <c r="S44" s="99"/>
      <c r="T44" s="99"/>
      <c r="U44" s="99"/>
      <c r="V44" s="3"/>
      <c r="W44" s="3"/>
      <c r="X44" s="3"/>
      <c r="Y44" s="3"/>
      <c r="Z44" s="3"/>
      <c r="AA44" s="3"/>
      <c r="AB44" s="3"/>
      <c r="AC44" s="3"/>
      <c r="AD44" s="3"/>
    </row>
    <row r="45" spans="1:30" ht="17.100000000000001" customHeight="1" x14ac:dyDescent="0.2">
      <c r="A45" s="120">
        <v>17</v>
      </c>
      <c r="B45" s="87"/>
      <c r="C45" s="269"/>
      <c r="D45" s="269"/>
      <c r="E45" s="269"/>
      <c r="F45" s="269"/>
      <c r="G45" s="269"/>
      <c r="H45" s="269"/>
      <c r="I45" s="269"/>
      <c r="J45" s="269"/>
      <c r="K45" s="269"/>
      <c r="L45" s="269"/>
      <c r="M45" s="269"/>
      <c r="N45" s="87"/>
      <c r="P45" s="99" t="s">
        <v>293</v>
      </c>
      <c r="Q45" s="99"/>
      <c r="R45" s="99"/>
      <c r="S45" s="99"/>
      <c r="T45" s="99">
        <f>val.Sect3.insured.company.businessactivity.1</f>
        <v>0</v>
      </c>
      <c r="U45" s="99"/>
      <c r="V45" s="3"/>
      <c r="W45" s="3"/>
      <c r="X45" s="3"/>
      <c r="Y45" s="3"/>
      <c r="Z45" s="3"/>
      <c r="AA45" s="3"/>
      <c r="AB45" s="3"/>
      <c r="AC45" s="3"/>
      <c r="AD45" s="3"/>
    </row>
    <row r="46" spans="1:30" ht="17.100000000000001" customHeight="1" x14ac:dyDescent="0.2">
      <c r="A46" s="120">
        <v>17</v>
      </c>
      <c r="B46" s="87"/>
      <c r="C46" s="249"/>
      <c r="D46" s="249"/>
      <c r="E46" s="249"/>
      <c r="F46" s="249"/>
      <c r="G46" s="249"/>
      <c r="H46" s="249"/>
      <c r="I46" s="249"/>
      <c r="J46" s="249"/>
      <c r="K46" s="249"/>
      <c r="L46" s="249"/>
      <c r="M46" s="249"/>
      <c r="N46" s="87"/>
      <c r="P46" s="99" t="s">
        <v>294</v>
      </c>
      <c r="Q46" s="99"/>
      <c r="R46" s="99"/>
      <c r="S46" s="99"/>
      <c r="T46" s="99">
        <f>val.Sect3.insured.company.businessactivity.2</f>
        <v>0</v>
      </c>
      <c r="U46" s="99"/>
      <c r="V46" s="3"/>
      <c r="W46" s="3"/>
      <c r="X46" s="3"/>
      <c r="Y46" s="3"/>
      <c r="Z46" s="3"/>
      <c r="AA46" s="3"/>
      <c r="AB46" s="3"/>
      <c r="AC46" s="3"/>
      <c r="AD46" s="3"/>
    </row>
    <row r="47" spans="1:30" ht="17.100000000000001" customHeight="1" x14ac:dyDescent="0.2">
      <c r="A47" s="120">
        <v>17</v>
      </c>
      <c r="B47" s="87"/>
      <c r="C47" s="249"/>
      <c r="D47" s="249"/>
      <c r="E47" s="249"/>
      <c r="F47" s="249"/>
      <c r="G47" s="249"/>
      <c r="H47" s="249"/>
      <c r="I47" s="249"/>
      <c r="J47" s="249"/>
      <c r="K47" s="249"/>
      <c r="L47" s="249"/>
      <c r="M47" s="249"/>
      <c r="N47" s="87"/>
      <c r="P47" s="99" t="s">
        <v>295</v>
      </c>
      <c r="Q47" s="99"/>
      <c r="R47" s="99"/>
      <c r="S47" s="99"/>
      <c r="T47" s="99">
        <f>val.Sect3.insured.company.businessactivity.3</f>
        <v>0</v>
      </c>
      <c r="U47" s="99"/>
      <c r="V47" s="3"/>
      <c r="W47" s="3"/>
      <c r="X47" s="3"/>
      <c r="Y47" s="3"/>
      <c r="Z47" s="3"/>
      <c r="AA47" s="3"/>
      <c r="AB47" s="3"/>
      <c r="AC47" s="3"/>
      <c r="AD47" s="3"/>
    </row>
    <row r="48" spans="1:30" ht="17.100000000000001" customHeight="1" x14ac:dyDescent="0.2">
      <c r="A48" s="120">
        <v>17</v>
      </c>
      <c r="B48" s="87"/>
      <c r="C48" s="249"/>
      <c r="D48" s="249"/>
      <c r="E48" s="249"/>
      <c r="F48" s="249"/>
      <c r="G48" s="249"/>
      <c r="H48" s="249"/>
      <c r="I48" s="249"/>
      <c r="J48" s="249"/>
      <c r="K48" s="249"/>
      <c r="L48" s="249"/>
      <c r="M48" s="249"/>
      <c r="N48" s="87"/>
      <c r="P48" s="99" t="s">
        <v>295</v>
      </c>
      <c r="Q48" s="99"/>
      <c r="R48" s="99"/>
      <c r="S48" s="99"/>
      <c r="T48" s="99">
        <f>val.Sect3.insured.company.businessactivity.3</f>
        <v>0</v>
      </c>
      <c r="U48" s="99"/>
      <c r="V48" s="3"/>
      <c r="W48" s="3"/>
      <c r="X48" s="3"/>
      <c r="Y48" s="3"/>
      <c r="Z48" s="3"/>
      <c r="AA48" s="3"/>
      <c r="AB48" s="3"/>
      <c r="AC48" s="3"/>
      <c r="AD48" s="3"/>
    </row>
    <row r="49" spans="1:30" ht="17.100000000000001" customHeight="1" x14ac:dyDescent="0.2">
      <c r="A49" s="120">
        <v>17</v>
      </c>
      <c r="B49" s="87"/>
      <c r="C49" s="249"/>
      <c r="D49" s="249"/>
      <c r="E49" s="249"/>
      <c r="F49" s="249"/>
      <c r="G49" s="249"/>
      <c r="H49" s="249"/>
      <c r="I49" s="249"/>
      <c r="J49" s="249"/>
      <c r="K49" s="249"/>
      <c r="L49" s="249"/>
      <c r="M49" s="249"/>
      <c r="N49" s="87"/>
      <c r="P49" s="99" t="s">
        <v>295</v>
      </c>
      <c r="Q49" s="99"/>
      <c r="R49" s="99"/>
      <c r="S49" s="99"/>
      <c r="T49" s="99">
        <f>val.Sect3.insured.company.businessactivity.3</f>
        <v>0</v>
      </c>
      <c r="U49" s="99"/>
      <c r="V49" s="3"/>
      <c r="W49" s="3"/>
      <c r="X49" s="3"/>
      <c r="Y49" s="3"/>
      <c r="Z49" s="3"/>
      <c r="AA49" s="3"/>
      <c r="AB49" s="3"/>
      <c r="AC49" s="3"/>
      <c r="AD49" s="3"/>
    </row>
    <row r="50" spans="1:30" ht="17.100000000000001" customHeight="1" x14ac:dyDescent="0.2">
      <c r="A50" s="120">
        <v>17</v>
      </c>
      <c r="B50" s="87"/>
      <c r="C50" s="249"/>
      <c r="D50" s="249"/>
      <c r="E50" s="249"/>
      <c r="F50" s="249"/>
      <c r="G50" s="249"/>
      <c r="H50" s="249"/>
      <c r="I50" s="249"/>
      <c r="J50" s="249"/>
      <c r="K50" s="249"/>
      <c r="L50" s="249"/>
      <c r="M50" s="249"/>
      <c r="N50" s="87"/>
      <c r="P50" s="99" t="s">
        <v>295</v>
      </c>
      <c r="Q50" s="99"/>
      <c r="R50" s="99"/>
      <c r="S50" s="99"/>
      <c r="T50" s="99">
        <f>val.Sect3.insured.company.businessactivity.3</f>
        <v>0</v>
      </c>
      <c r="U50" s="99"/>
      <c r="V50" s="3"/>
      <c r="W50" s="3"/>
      <c r="X50" s="3"/>
      <c r="Y50" s="3"/>
      <c r="Z50" s="3"/>
      <c r="AA50" s="3"/>
      <c r="AB50" s="3"/>
      <c r="AC50" s="3"/>
      <c r="AD50" s="3"/>
    </row>
    <row r="51" spans="1:30" ht="5.0999999999999996" customHeight="1" x14ac:dyDescent="0.2">
      <c r="A51" s="120">
        <v>5</v>
      </c>
      <c r="B51" s="87"/>
      <c r="C51" s="90"/>
      <c r="D51" s="90"/>
      <c r="E51" s="97"/>
      <c r="F51" s="97"/>
      <c r="G51" s="97"/>
      <c r="H51" s="97"/>
      <c r="I51" s="97"/>
      <c r="J51" s="97"/>
      <c r="K51" s="97"/>
      <c r="L51" s="97"/>
      <c r="M51" s="89"/>
      <c r="N51" s="87"/>
      <c r="O51" s="3"/>
      <c r="P51" s="99"/>
      <c r="Q51" s="99"/>
      <c r="R51" s="99"/>
      <c r="S51" s="99"/>
      <c r="T51" s="99"/>
      <c r="U51" s="99"/>
      <c r="V51" s="3"/>
      <c r="W51" s="3"/>
      <c r="X51" s="3"/>
      <c r="Y51" s="3"/>
      <c r="Z51" s="3"/>
      <c r="AA51" s="3"/>
      <c r="AB51" s="3"/>
      <c r="AC51" s="3"/>
      <c r="AD51" s="3"/>
    </row>
    <row r="52" spans="1:30" ht="15" customHeight="1" x14ac:dyDescent="0.2">
      <c r="A52" s="120">
        <v>15</v>
      </c>
      <c r="B52" s="87"/>
      <c r="C52" s="89" t="str">
        <f>label.BusinessActivitiesHint</f>
        <v>Note:</v>
      </c>
      <c r="D52" s="89"/>
      <c r="E52" s="89" t="str">
        <f>label.BusinessActivitiesHintLine1</f>
        <v>No quotation will be issued for:</v>
      </c>
      <c r="F52" s="89"/>
      <c r="G52" s="97"/>
      <c r="H52" s="97"/>
      <c r="I52" s="97"/>
      <c r="J52" s="97"/>
      <c r="K52" s="97"/>
      <c r="L52" s="97"/>
      <c r="M52" s="89"/>
      <c r="N52" s="87"/>
      <c r="O52" s="3"/>
      <c r="P52" s="99"/>
      <c r="Q52" s="99"/>
      <c r="R52" s="99"/>
      <c r="S52" s="99"/>
      <c r="T52" s="99"/>
      <c r="U52" s="99"/>
      <c r="V52" s="3"/>
      <c r="W52" s="3"/>
      <c r="X52" s="3"/>
      <c r="Y52" s="3"/>
      <c r="Z52" s="3"/>
      <c r="AA52" s="3"/>
      <c r="AB52" s="3"/>
      <c r="AC52" s="3"/>
      <c r="AD52" s="3"/>
    </row>
    <row r="53" spans="1:30" ht="15" customHeight="1" x14ac:dyDescent="0.2">
      <c r="A53" s="120">
        <v>15</v>
      </c>
      <c r="B53" s="87"/>
      <c r="C53" s="89"/>
      <c r="D53" s="89"/>
      <c r="E53" s="89" t="str">
        <f>label.BusinessActivitiesHintLine2</f>
        <v>Service provider at airports, supplier for ground equipment</v>
      </c>
      <c r="F53" s="89"/>
      <c r="G53" s="97"/>
      <c r="H53" s="97"/>
      <c r="I53" s="97"/>
      <c r="J53" s="97"/>
      <c r="K53" s="97"/>
      <c r="L53" s="97"/>
      <c r="M53" s="89"/>
      <c r="N53" s="87"/>
      <c r="O53" s="3"/>
      <c r="P53" s="99"/>
      <c r="Q53" s="99"/>
      <c r="R53" s="99"/>
      <c r="S53" s="99"/>
      <c r="T53" s="99"/>
      <c r="U53" s="99"/>
      <c r="V53" s="3"/>
      <c r="W53" s="3"/>
      <c r="X53" s="3"/>
      <c r="Y53" s="3"/>
      <c r="Z53" s="3"/>
      <c r="AA53" s="3"/>
      <c r="AB53" s="3"/>
      <c r="AC53" s="3"/>
      <c r="AD53" s="3"/>
    </row>
    <row r="54" spans="1:30" ht="15" customHeight="1" x14ac:dyDescent="0.2">
      <c r="A54" s="120">
        <v>15</v>
      </c>
      <c r="B54" s="87"/>
      <c r="C54" s="89"/>
      <c r="D54" s="89"/>
      <c r="E54" s="89" t="str">
        <f>label.BusinessActivitiesHintLine3</f>
        <v>Coverage is possible for Tier 1 and Tier 2 suppliers only.</v>
      </c>
      <c r="F54" s="89"/>
      <c r="G54" s="97"/>
      <c r="H54" s="97"/>
      <c r="I54" s="97"/>
      <c r="J54" s="97"/>
      <c r="K54" s="97"/>
      <c r="L54" s="97"/>
      <c r="M54" s="89"/>
      <c r="N54" s="87"/>
      <c r="O54" s="3"/>
      <c r="P54" s="99"/>
      <c r="Q54" s="99"/>
      <c r="R54" s="99"/>
      <c r="S54" s="99"/>
      <c r="T54" s="99"/>
      <c r="U54" s="99"/>
      <c r="V54" s="3"/>
      <c r="W54" s="3"/>
      <c r="X54" s="3"/>
      <c r="Y54" s="3"/>
      <c r="Z54" s="3"/>
      <c r="AA54" s="3"/>
      <c r="AB54" s="3"/>
      <c r="AC54" s="3"/>
      <c r="AD54" s="3"/>
    </row>
    <row r="55" spans="1:30" ht="15" customHeight="1" x14ac:dyDescent="0.2">
      <c r="A55" s="120">
        <v>15</v>
      </c>
      <c r="B55" s="87"/>
      <c r="C55" s="90"/>
      <c r="D55" s="90"/>
      <c r="E55" s="98"/>
      <c r="F55" s="97"/>
      <c r="G55" s="97"/>
      <c r="H55" s="97"/>
      <c r="I55" s="97"/>
      <c r="J55" s="97"/>
      <c r="K55" s="97"/>
      <c r="L55" s="97"/>
      <c r="M55" s="89"/>
      <c r="N55" s="87"/>
      <c r="O55" s="3"/>
      <c r="P55" s="99"/>
      <c r="Q55" s="99"/>
      <c r="R55" s="99"/>
      <c r="S55" s="99"/>
      <c r="T55" s="99"/>
      <c r="U55" s="99"/>
      <c r="V55" s="3"/>
      <c r="W55" s="3"/>
      <c r="X55" s="3"/>
      <c r="Y55" s="3"/>
      <c r="Z55" s="3"/>
      <c r="AA55" s="3"/>
      <c r="AB55" s="3"/>
      <c r="AC55" s="3"/>
      <c r="AD55" s="3"/>
    </row>
    <row r="56" spans="1:30" ht="17.100000000000001" customHeight="1" x14ac:dyDescent="0.2">
      <c r="A56" s="120">
        <v>17</v>
      </c>
      <c r="B56" s="87" t="s">
        <v>57</v>
      </c>
      <c r="C56" s="85" t="str">
        <f>label.section4.AddtionalCompanies</f>
        <v>4. Additional companies to be insured</v>
      </c>
      <c r="D56" s="85"/>
      <c r="E56" s="91"/>
      <c r="F56" s="91"/>
      <c r="G56" s="91"/>
      <c r="H56" s="91"/>
      <c r="I56" s="91"/>
      <c r="J56" s="91"/>
      <c r="K56" s="91"/>
      <c r="L56" s="91"/>
      <c r="M56" s="91"/>
      <c r="N56" s="87"/>
      <c r="O56" s="3"/>
      <c r="P56" s="99"/>
      <c r="Q56" s="99"/>
      <c r="R56" s="99"/>
      <c r="S56" s="99"/>
      <c r="T56" s="99"/>
      <c r="U56" s="99"/>
      <c r="V56" s="3"/>
      <c r="W56" s="3"/>
      <c r="X56" s="3"/>
      <c r="Y56" s="3"/>
      <c r="Z56" s="3"/>
      <c r="AA56" s="3"/>
      <c r="AB56" s="3"/>
      <c r="AC56" s="3"/>
      <c r="AD56" s="3"/>
    </row>
    <row r="57" spans="1:30" ht="5.0999999999999996" customHeight="1" x14ac:dyDescent="0.2">
      <c r="A57" s="120">
        <v>5</v>
      </c>
      <c r="B57" s="87"/>
      <c r="C57" s="89"/>
      <c r="D57" s="89"/>
      <c r="E57" s="97"/>
      <c r="F57" s="97"/>
      <c r="G57" s="97"/>
      <c r="H57" s="97"/>
      <c r="I57" s="97"/>
      <c r="J57" s="97"/>
      <c r="K57" s="97"/>
      <c r="L57" s="97"/>
      <c r="M57" s="89"/>
      <c r="N57" s="87"/>
      <c r="O57" s="3"/>
      <c r="P57" s="99"/>
      <c r="Q57" s="99"/>
      <c r="R57" s="99"/>
      <c r="S57" s="99"/>
      <c r="T57" s="99"/>
      <c r="U57" s="99"/>
      <c r="V57" s="3"/>
      <c r="W57" s="3"/>
      <c r="X57" s="3"/>
      <c r="Y57" s="3"/>
      <c r="Z57" s="3"/>
      <c r="AA57" s="3"/>
      <c r="AB57" s="3"/>
      <c r="AC57" s="3"/>
      <c r="AD57" s="3"/>
    </row>
    <row r="58" spans="1:30" ht="15" customHeight="1" x14ac:dyDescent="0.2">
      <c r="A58" s="120">
        <v>15</v>
      </c>
      <c r="B58" s="87"/>
      <c r="C58" s="278" t="str">
        <f>label.AddtlCompanies.TreadActHint</f>
        <v>For companies residing in the USA the TRIA questionnaire must be filled out:</v>
      </c>
      <c r="D58" s="278"/>
      <c r="E58" s="279"/>
      <c r="F58" s="279"/>
      <c r="G58" s="279"/>
      <c r="H58" s="279"/>
      <c r="I58" s="279"/>
      <c r="J58" s="279"/>
      <c r="K58" s="279"/>
      <c r="L58" s="97"/>
      <c r="M58" s="248" t="str">
        <f>label.AddtlCompanies.TreadActURL</f>
        <v>Click here</v>
      </c>
      <c r="N58" s="87"/>
      <c r="O58" s="3"/>
      <c r="P58" s="99"/>
      <c r="Q58" s="99"/>
      <c r="R58" s="99"/>
      <c r="S58" s="99"/>
      <c r="T58" s="99"/>
      <c r="U58" s="99"/>
      <c r="V58" s="3"/>
      <c r="W58" s="3"/>
      <c r="X58" s="3"/>
      <c r="Y58" s="3"/>
      <c r="Z58" s="3"/>
      <c r="AA58" s="3"/>
      <c r="AB58" s="3"/>
      <c r="AC58" s="3"/>
      <c r="AD58" s="3"/>
    </row>
    <row r="59" spans="1:30" ht="15" customHeight="1" x14ac:dyDescent="0.2">
      <c r="A59" s="120">
        <v>15</v>
      </c>
      <c r="B59" s="87"/>
      <c r="C59" s="89"/>
      <c r="D59" s="89"/>
      <c r="E59" s="97"/>
      <c r="F59" s="97"/>
      <c r="G59" s="97"/>
      <c r="H59" s="97"/>
      <c r="I59" s="97"/>
      <c r="J59" s="97"/>
      <c r="K59" s="97"/>
      <c r="L59" s="97"/>
      <c r="M59" s="89"/>
      <c r="N59" s="87"/>
      <c r="O59" s="3"/>
      <c r="P59" s="99"/>
      <c r="Q59" s="99"/>
      <c r="R59" s="99"/>
      <c r="S59" s="99"/>
      <c r="T59" s="99"/>
      <c r="U59" s="99"/>
      <c r="V59" s="3"/>
      <c r="W59" s="3"/>
      <c r="X59" s="3"/>
      <c r="Y59" s="3"/>
      <c r="Z59" s="3"/>
      <c r="AA59" s="3"/>
      <c r="AB59" s="3"/>
      <c r="AC59" s="3"/>
      <c r="AD59" s="3"/>
    </row>
    <row r="60" spans="1:30" ht="17.100000000000001" customHeight="1" x14ac:dyDescent="0.2">
      <c r="A60" s="120">
        <v>17</v>
      </c>
      <c r="B60" s="87" t="s">
        <v>57</v>
      </c>
      <c r="C60" s="85" t="str">
        <f>label.section4_1.Subsidiaries</f>
        <v>4.1 Own subsidiaries to be included into contract</v>
      </c>
      <c r="D60" s="85"/>
      <c r="E60" s="91"/>
      <c r="F60" s="91"/>
      <c r="G60" s="91"/>
      <c r="H60" s="91"/>
      <c r="I60" s="91"/>
      <c r="J60" s="91"/>
      <c r="K60" s="114" t="str">
        <f>IF(M60="","!!! &gt;&gt;","")</f>
        <v>!!! &gt;&gt;</v>
      </c>
      <c r="L60" s="97"/>
      <c r="M60" s="185"/>
      <c r="N60" s="87"/>
      <c r="O60" s="3"/>
      <c r="P60" s="99" t="s">
        <v>325</v>
      </c>
      <c r="Q60" s="99"/>
      <c r="R60" s="99"/>
      <c r="S60" s="99"/>
      <c r="T60" s="99">
        <f>val.Sect4_1.subsidiaries.YESNO</f>
        <v>0</v>
      </c>
      <c r="U60" s="99"/>
      <c r="V60" s="3"/>
      <c r="W60" s="3"/>
      <c r="X60" s="3"/>
      <c r="Y60" s="3"/>
      <c r="Z60" s="3"/>
      <c r="AA60" s="3"/>
      <c r="AB60" s="3"/>
      <c r="AC60" s="3"/>
      <c r="AD60" s="3"/>
    </row>
    <row r="61" spans="1:30" ht="5.0999999999999996" customHeight="1" x14ac:dyDescent="0.2">
      <c r="A61" s="120">
        <v>5</v>
      </c>
      <c r="B61" s="87"/>
      <c r="C61" s="89"/>
      <c r="D61" s="89"/>
      <c r="E61" s="97"/>
      <c r="F61" s="97"/>
      <c r="G61" s="97"/>
      <c r="H61" s="97"/>
      <c r="I61" s="97"/>
      <c r="J61" s="97"/>
      <c r="K61" s="97"/>
      <c r="L61" s="97"/>
      <c r="M61" s="89"/>
      <c r="N61" s="87"/>
      <c r="O61" s="3"/>
      <c r="P61" s="99"/>
      <c r="Q61" s="99"/>
      <c r="R61" s="99"/>
      <c r="S61" s="99"/>
      <c r="T61" s="99"/>
      <c r="U61" s="99"/>
      <c r="V61" s="3"/>
      <c r="W61" s="3"/>
      <c r="X61" s="3"/>
      <c r="Y61" s="3"/>
      <c r="Z61" s="3"/>
      <c r="AA61" s="3"/>
      <c r="AB61" s="3"/>
      <c r="AC61" s="3"/>
      <c r="AD61" s="3"/>
    </row>
    <row r="62" spans="1:30" ht="17.100000000000001" customHeight="1" x14ac:dyDescent="0.2">
      <c r="A62" s="120">
        <v>17</v>
      </c>
      <c r="B62" s="87"/>
      <c r="C62" s="250" t="str">
        <f>label.OutsideEUsee10</f>
        <v>For companies located outside the EU please answer questions regarding local policies (section 9)</v>
      </c>
      <c r="D62" s="250"/>
      <c r="E62" s="250"/>
      <c r="F62" s="250"/>
      <c r="G62" s="250"/>
      <c r="H62" s="250"/>
      <c r="I62" s="250"/>
      <c r="J62" s="250"/>
      <c r="K62" s="250"/>
      <c r="L62" s="250"/>
      <c r="M62" s="250"/>
      <c r="N62" s="87"/>
      <c r="O62" s="3"/>
      <c r="P62" s="99"/>
      <c r="Q62" s="99"/>
      <c r="R62" s="99"/>
      <c r="S62" s="99"/>
      <c r="T62" s="99"/>
      <c r="U62" s="99"/>
      <c r="V62" s="3"/>
      <c r="W62" s="3"/>
      <c r="X62" s="3"/>
      <c r="Y62" s="3"/>
      <c r="Z62" s="3"/>
      <c r="AA62" s="3"/>
      <c r="AB62" s="3"/>
      <c r="AC62" s="3"/>
      <c r="AD62" s="3"/>
    </row>
    <row r="63" spans="1:30" ht="5.0999999999999996" customHeight="1" x14ac:dyDescent="0.2">
      <c r="A63" s="120">
        <v>5</v>
      </c>
      <c r="B63" s="87"/>
      <c r="C63" s="89"/>
      <c r="D63" s="89"/>
      <c r="E63" s="97"/>
      <c r="F63" s="97"/>
      <c r="G63" s="97"/>
      <c r="H63" s="97"/>
      <c r="I63" s="97"/>
      <c r="J63" s="97"/>
      <c r="K63" s="97"/>
      <c r="L63" s="97"/>
      <c r="M63" s="89"/>
      <c r="N63" s="87"/>
      <c r="O63" s="3"/>
      <c r="P63" s="99"/>
      <c r="Q63" s="99"/>
      <c r="R63" s="99"/>
      <c r="S63" s="99"/>
      <c r="T63" s="99"/>
      <c r="U63" s="99"/>
      <c r="V63" s="3"/>
      <c r="W63" s="3"/>
      <c r="X63" s="3"/>
      <c r="Y63" s="3"/>
      <c r="Z63" s="3"/>
      <c r="AA63" s="3"/>
      <c r="AB63" s="3"/>
      <c r="AC63" s="3"/>
      <c r="AD63" s="3"/>
    </row>
    <row r="64" spans="1:30" ht="30" customHeight="1" x14ac:dyDescent="0.2">
      <c r="A64" s="120">
        <v>30</v>
      </c>
      <c r="B64" s="87"/>
      <c r="C64" s="111" t="str">
        <f>label.Subsidiaries.Companyname</f>
        <v>Company name</v>
      </c>
      <c r="D64" s="89"/>
      <c r="E64" s="112" t="str">
        <f>label.Subsidiaries.AdressInclCountry</f>
        <v>Postal address incl. country</v>
      </c>
      <c r="F64" s="97"/>
      <c r="G64" s="97"/>
      <c r="H64" s="97"/>
      <c r="I64" s="97"/>
      <c r="J64" s="97"/>
      <c r="K64" s="112" t="str">
        <f>label.Subsidiaries.BusinessActivities</f>
        <v>Business activities</v>
      </c>
      <c r="L64" s="97"/>
      <c r="M64" s="89"/>
      <c r="N64" s="87"/>
      <c r="O64" s="3"/>
      <c r="P64" s="99"/>
      <c r="Q64" s="99"/>
      <c r="R64" s="99"/>
      <c r="S64" s="99"/>
      <c r="T64" s="99"/>
      <c r="U64" s="99"/>
      <c r="V64" s="3"/>
      <c r="W64" s="3"/>
      <c r="X64" s="3"/>
      <c r="Y64" s="3"/>
      <c r="Z64" s="3"/>
      <c r="AA64" s="3"/>
      <c r="AB64" s="3"/>
      <c r="AC64" s="3"/>
      <c r="AD64" s="3"/>
    </row>
    <row r="65" spans="1:30" s="4" customFormat="1" ht="17.100000000000001" customHeight="1" x14ac:dyDescent="0.2">
      <c r="A65" s="120">
        <v>17</v>
      </c>
      <c r="B65" s="92"/>
      <c r="C65" s="184"/>
      <c r="D65" s="110"/>
      <c r="E65" s="251"/>
      <c r="F65" s="251"/>
      <c r="G65" s="251"/>
      <c r="H65" s="251"/>
      <c r="I65" s="251"/>
      <c r="J65" s="109"/>
      <c r="K65" s="273"/>
      <c r="L65" s="273"/>
      <c r="M65" s="273"/>
      <c r="N65" s="92"/>
      <c r="O65" s="99"/>
      <c r="P65" s="99" t="s">
        <v>296</v>
      </c>
      <c r="Q65" s="99" t="s">
        <v>297</v>
      </c>
      <c r="R65" s="99" t="s">
        <v>298</v>
      </c>
      <c r="S65" s="99"/>
      <c r="T65" s="99">
        <f>val.Sect4_1.subsidiary1.companyname</f>
        <v>0</v>
      </c>
      <c r="U65" s="99">
        <f>val.Sect4_1.subsidiary1.address</f>
        <v>0</v>
      </c>
      <c r="V65" s="99">
        <f>val.Sect4_1.subsidiary1.businessactivity</f>
        <v>0</v>
      </c>
      <c r="W65" s="93"/>
      <c r="X65" s="93"/>
      <c r="Y65" s="93"/>
      <c r="Z65" s="93"/>
      <c r="AA65" s="93"/>
      <c r="AB65" s="93"/>
      <c r="AC65" s="93"/>
      <c r="AD65" s="93"/>
    </row>
    <row r="66" spans="1:30" ht="5.0999999999999996" customHeight="1" x14ac:dyDescent="0.2">
      <c r="A66" s="120">
        <v>5</v>
      </c>
      <c r="B66" s="87"/>
      <c r="C66" s="90"/>
      <c r="D66" s="90"/>
      <c r="E66" s="97"/>
      <c r="F66" s="97"/>
      <c r="G66" s="97"/>
      <c r="H66" s="97"/>
      <c r="I66" s="97"/>
      <c r="J66" s="97"/>
      <c r="K66" s="97"/>
      <c r="L66" s="97"/>
      <c r="M66" s="90"/>
      <c r="N66" s="87"/>
      <c r="O66" s="99"/>
      <c r="P66" s="99"/>
      <c r="Q66" s="99"/>
      <c r="R66" s="99"/>
      <c r="S66" s="99"/>
      <c r="T66" s="99"/>
      <c r="U66" s="99"/>
      <c r="V66" s="99"/>
      <c r="W66" s="3"/>
      <c r="X66" s="3"/>
      <c r="Y66" s="3"/>
      <c r="Z66" s="3"/>
      <c r="AA66" s="3"/>
      <c r="AB66" s="3"/>
      <c r="AC66" s="3"/>
      <c r="AD66" s="3"/>
    </row>
    <row r="67" spans="1:30" ht="17.100000000000001" customHeight="1" x14ac:dyDescent="0.2">
      <c r="A67" s="120">
        <v>17</v>
      </c>
      <c r="B67" s="87"/>
      <c r="C67" s="184"/>
      <c r="D67" s="110"/>
      <c r="E67" s="251"/>
      <c r="F67" s="251"/>
      <c r="G67" s="251"/>
      <c r="H67" s="251"/>
      <c r="I67" s="251"/>
      <c r="J67" s="109"/>
      <c r="K67" s="273"/>
      <c r="L67" s="273"/>
      <c r="M67" s="273"/>
      <c r="N67" s="87"/>
      <c r="O67" s="99"/>
      <c r="P67" s="99" t="s">
        <v>299</v>
      </c>
      <c r="Q67" s="99" t="s">
        <v>300</v>
      </c>
      <c r="R67" s="99" t="s">
        <v>301</v>
      </c>
      <c r="S67" s="99"/>
      <c r="T67" s="99">
        <f>val.Sect4_1.subsidiary2.companyname</f>
        <v>0</v>
      </c>
      <c r="U67" s="99">
        <f>val.Sect4_1.subsidiary2.address</f>
        <v>0</v>
      </c>
      <c r="V67" s="99">
        <f>val.Sect4_1.subsidiary2.businessactivity</f>
        <v>0</v>
      </c>
      <c r="W67" s="3"/>
      <c r="X67" s="3"/>
      <c r="Y67" s="3"/>
      <c r="Z67" s="3"/>
      <c r="AA67" s="3"/>
      <c r="AB67" s="3"/>
      <c r="AC67" s="3"/>
      <c r="AD67" s="3"/>
    </row>
    <row r="68" spans="1:30" ht="5.0999999999999996" customHeight="1" x14ac:dyDescent="0.2">
      <c r="A68" s="120">
        <v>5</v>
      </c>
      <c r="B68" s="87"/>
      <c r="C68" s="90"/>
      <c r="D68" s="90"/>
      <c r="E68" s="97"/>
      <c r="F68" s="97"/>
      <c r="G68" s="97"/>
      <c r="H68" s="97"/>
      <c r="I68" s="97"/>
      <c r="J68" s="97"/>
      <c r="K68" s="97"/>
      <c r="L68" s="97"/>
      <c r="M68" s="90"/>
      <c r="N68" s="87"/>
      <c r="O68" s="99"/>
      <c r="P68" s="99"/>
      <c r="Q68" s="99"/>
      <c r="R68" s="99"/>
      <c r="S68" s="99"/>
      <c r="T68" s="99"/>
      <c r="U68" s="99"/>
      <c r="V68" s="99"/>
      <c r="W68" s="3"/>
      <c r="X68" s="3"/>
      <c r="Y68" s="3"/>
      <c r="Z68" s="3"/>
      <c r="AA68" s="3"/>
      <c r="AB68" s="3"/>
      <c r="AC68" s="3"/>
      <c r="AD68" s="3"/>
    </row>
    <row r="69" spans="1:30" ht="17.100000000000001" customHeight="1" x14ac:dyDescent="0.2">
      <c r="A69" s="120">
        <v>17</v>
      </c>
      <c r="B69" s="87"/>
      <c r="C69" s="184"/>
      <c r="D69" s="110"/>
      <c r="E69" s="251"/>
      <c r="F69" s="251"/>
      <c r="G69" s="251"/>
      <c r="H69" s="251"/>
      <c r="I69" s="251"/>
      <c r="J69" s="109"/>
      <c r="K69" s="273"/>
      <c r="L69" s="273"/>
      <c r="M69" s="273"/>
      <c r="N69" s="87"/>
      <c r="O69" s="99"/>
      <c r="P69" s="99" t="s">
        <v>302</v>
      </c>
      <c r="Q69" s="99" t="s">
        <v>303</v>
      </c>
      <c r="R69" s="99" t="s">
        <v>304</v>
      </c>
      <c r="S69" s="99"/>
      <c r="T69" s="99">
        <f>val.Sect4_1.subsidiary3.companyname</f>
        <v>0</v>
      </c>
      <c r="U69" s="99">
        <f>val.Sect4_1.subsidiary3.address</f>
        <v>0</v>
      </c>
      <c r="V69" s="99">
        <f>val.Sect4_1.subsidiary3.businessactivity</f>
        <v>0</v>
      </c>
      <c r="W69" s="3"/>
      <c r="X69" s="3"/>
      <c r="Y69" s="3"/>
      <c r="Z69" s="3"/>
      <c r="AA69" s="3"/>
      <c r="AB69" s="3"/>
      <c r="AC69" s="3"/>
      <c r="AD69" s="3"/>
    </row>
    <row r="70" spans="1:30" ht="5.0999999999999996" customHeight="1" x14ac:dyDescent="0.2">
      <c r="A70" s="120">
        <v>5</v>
      </c>
      <c r="B70" s="87"/>
      <c r="C70" s="90"/>
      <c r="D70" s="90"/>
      <c r="E70" s="97"/>
      <c r="F70" s="97"/>
      <c r="G70" s="97"/>
      <c r="H70" s="97"/>
      <c r="I70" s="97"/>
      <c r="J70" s="97"/>
      <c r="K70" s="97"/>
      <c r="L70" s="97"/>
      <c r="M70" s="90"/>
      <c r="N70" s="87"/>
      <c r="O70" s="99"/>
      <c r="P70" s="99"/>
      <c r="Q70" s="99"/>
      <c r="R70" s="99"/>
      <c r="S70" s="99"/>
      <c r="T70" s="99"/>
      <c r="U70" s="99"/>
      <c r="V70" s="99"/>
      <c r="W70" s="3"/>
      <c r="X70" s="3"/>
      <c r="Y70" s="3"/>
      <c r="Z70" s="3"/>
      <c r="AA70" s="3"/>
      <c r="AB70" s="3"/>
      <c r="AC70" s="3"/>
      <c r="AD70" s="3"/>
    </row>
    <row r="71" spans="1:30" ht="17.100000000000001" customHeight="1" x14ac:dyDescent="0.2">
      <c r="A71" s="120">
        <v>17</v>
      </c>
      <c r="B71" s="87"/>
      <c r="C71" s="184"/>
      <c r="D71" s="110"/>
      <c r="E71" s="251"/>
      <c r="F71" s="251"/>
      <c r="G71" s="251"/>
      <c r="H71" s="251"/>
      <c r="I71" s="251"/>
      <c r="J71" s="109"/>
      <c r="K71" s="273"/>
      <c r="L71" s="273"/>
      <c r="M71" s="273"/>
      <c r="N71" s="87"/>
      <c r="O71" s="99"/>
      <c r="P71" s="99" t="s">
        <v>305</v>
      </c>
      <c r="Q71" s="99" t="s">
        <v>306</v>
      </c>
      <c r="R71" s="99" t="s">
        <v>307</v>
      </c>
      <c r="S71" s="99"/>
      <c r="T71" s="99">
        <f>val.Sect4_1.subsidiary4.companyname</f>
        <v>0</v>
      </c>
      <c r="U71" s="99">
        <f>val.Sect4_1.subsidiary4.address</f>
        <v>0</v>
      </c>
      <c r="V71" s="99">
        <f>val.Sect4_1.subsidiary4.businessactivity</f>
        <v>0</v>
      </c>
      <c r="W71" s="3"/>
      <c r="X71" s="3"/>
      <c r="Y71" s="3"/>
      <c r="Z71" s="3"/>
      <c r="AA71" s="3"/>
      <c r="AB71" s="3"/>
      <c r="AC71" s="3"/>
      <c r="AD71" s="3"/>
    </row>
    <row r="72" spans="1:30" ht="5.0999999999999996" customHeight="1" x14ac:dyDescent="0.2">
      <c r="A72" s="120">
        <v>5</v>
      </c>
      <c r="B72" s="87"/>
      <c r="C72" s="90"/>
      <c r="D72" s="90"/>
      <c r="E72" s="97"/>
      <c r="F72" s="97"/>
      <c r="G72" s="97"/>
      <c r="H72" s="97"/>
      <c r="I72" s="97"/>
      <c r="J72" s="97"/>
      <c r="K72" s="97"/>
      <c r="L72" s="97"/>
      <c r="M72" s="90"/>
      <c r="N72" s="87"/>
      <c r="O72" s="99"/>
      <c r="P72" s="99"/>
      <c r="Q72" s="99"/>
      <c r="R72" s="99"/>
      <c r="S72" s="99"/>
      <c r="T72" s="99"/>
      <c r="U72" s="99"/>
      <c r="V72" s="99"/>
      <c r="W72" s="3"/>
      <c r="X72" s="3"/>
      <c r="Y72" s="3"/>
      <c r="Z72" s="3"/>
      <c r="AA72" s="3"/>
      <c r="AB72" s="3"/>
      <c r="AC72" s="3"/>
      <c r="AD72" s="3"/>
    </row>
    <row r="73" spans="1:30" ht="17.100000000000001" customHeight="1" x14ac:dyDescent="0.2">
      <c r="A73" s="120"/>
      <c r="B73" s="87"/>
      <c r="C73" s="184"/>
      <c r="D73" s="110"/>
      <c r="E73" s="251"/>
      <c r="F73" s="251"/>
      <c r="G73" s="251"/>
      <c r="H73" s="251"/>
      <c r="I73" s="251"/>
      <c r="J73" s="216"/>
      <c r="K73" s="273"/>
      <c r="L73" s="273"/>
      <c r="M73" s="273"/>
      <c r="N73" s="87"/>
      <c r="O73" s="99"/>
      <c r="P73" s="99"/>
      <c r="Q73" s="99"/>
      <c r="R73" s="99"/>
      <c r="S73" s="99"/>
      <c r="T73" s="99">
        <f>val.Sect4_1.subsidiary5.companyname</f>
        <v>0</v>
      </c>
      <c r="U73" s="99">
        <f>val.Sect4_1.subsidiary5.address</f>
        <v>0</v>
      </c>
      <c r="V73" s="99">
        <f>val.Sect4_1.subsidiary5.businessactivity</f>
        <v>0</v>
      </c>
      <c r="W73" s="3"/>
      <c r="X73" s="3"/>
      <c r="Y73" s="3"/>
      <c r="Z73" s="3"/>
      <c r="AA73" s="3"/>
      <c r="AB73" s="3"/>
      <c r="AC73" s="3"/>
      <c r="AD73" s="3"/>
    </row>
    <row r="74" spans="1:30" ht="5.0999999999999996" customHeight="1" x14ac:dyDescent="0.2">
      <c r="A74" s="120">
        <v>5</v>
      </c>
      <c r="B74" s="87"/>
      <c r="C74" s="90"/>
      <c r="D74" s="90"/>
      <c r="E74" s="97"/>
      <c r="F74" s="97"/>
      <c r="G74" s="97"/>
      <c r="H74" s="97"/>
      <c r="I74" s="97"/>
      <c r="J74" s="97"/>
      <c r="K74" s="97"/>
      <c r="L74" s="97"/>
      <c r="M74" s="90"/>
      <c r="N74" s="87"/>
      <c r="O74" s="99"/>
      <c r="P74" s="99"/>
      <c r="Q74" s="99"/>
      <c r="R74" s="99"/>
      <c r="S74" s="99"/>
      <c r="T74" s="99"/>
      <c r="U74" s="99"/>
      <c r="V74" s="99"/>
      <c r="W74" s="3"/>
      <c r="X74" s="3"/>
      <c r="Y74" s="3"/>
      <c r="Z74" s="3"/>
      <c r="AA74" s="3"/>
      <c r="AB74" s="3"/>
      <c r="AC74" s="3"/>
      <c r="AD74" s="3"/>
    </row>
    <row r="75" spans="1:30" ht="17.100000000000001" customHeight="1" x14ac:dyDescent="0.2">
      <c r="A75" s="120"/>
      <c r="B75" s="87"/>
      <c r="C75" s="184"/>
      <c r="D75" s="110"/>
      <c r="E75" s="251"/>
      <c r="F75" s="251"/>
      <c r="G75" s="251"/>
      <c r="H75" s="251"/>
      <c r="I75" s="251"/>
      <c r="J75" s="216"/>
      <c r="K75" s="273"/>
      <c r="L75" s="273"/>
      <c r="M75" s="273"/>
      <c r="N75" s="87"/>
      <c r="O75" s="99"/>
      <c r="P75" s="99"/>
      <c r="Q75" s="99"/>
      <c r="R75" s="99"/>
      <c r="S75" s="99"/>
      <c r="T75" s="99">
        <f>val.Sect4_1.subsidiary6.companyname</f>
        <v>0</v>
      </c>
      <c r="U75" s="99">
        <f>val.Sect4_1.subsidiary6.address</f>
        <v>0</v>
      </c>
      <c r="V75" s="99">
        <f>val.Sect4_1.subsidiary6.businessactivity</f>
        <v>0</v>
      </c>
      <c r="W75" s="3"/>
      <c r="X75" s="3"/>
      <c r="Y75" s="3"/>
      <c r="Z75" s="3"/>
      <c r="AA75" s="3"/>
      <c r="AB75" s="3"/>
      <c r="AC75" s="3"/>
      <c r="AD75" s="3"/>
    </row>
    <row r="76" spans="1:30" ht="5.0999999999999996" customHeight="1" x14ac:dyDescent="0.2">
      <c r="A76" s="120">
        <v>5</v>
      </c>
      <c r="B76" s="87"/>
      <c r="C76" s="90"/>
      <c r="D76" s="90"/>
      <c r="E76" s="97"/>
      <c r="F76" s="97"/>
      <c r="G76" s="97"/>
      <c r="H76" s="97"/>
      <c r="I76" s="97"/>
      <c r="J76" s="97"/>
      <c r="K76" s="97"/>
      <c r="L76" s="97"/>
      <c r="M76" s="90"/>
      <c r="N76" s="87"/>
      <c r="O76" s="99"/>
      <c r="P76" s="99"/>
      <c r="Q76" s="99"/>
      <c r="R76" s="99"/>
      <c r="S76" s="99"/>
      <c r="T76" s="99"/>
      <c r="U76" s="99"/>
      <c r="V76" s="99"/>
      <c r="W76" s="3"/>
      <c r="X76" s="3"/>
      <c r="Y76" s="3"/>
      <c r="Z76" s="3"/>
      <c r="AA76" s="3"/>
      <c r="AB76" s="3"/>
      <c r="AC76" s="3"/>
      <c r="AD76" s="3"/>
    </row>
    <row r="77" spans="1:30" ht="17.100000000000001" customHeight="1" x14ac:dyDescent="0.2">
      <c r="A77" s="120"/>
      <c r="B77" s="87"/>
      <c r="C77" s="184"/>
      <c r="D77" s="110"/>
      <c r="E77" s="251"/>
      <c r="F77" s="251"/>
      <c r="G77" s="251"/>
      <c r="H77" s="251"/>
      <c r="I77" s="251"/>
      <c r="J77" s="216"/>
      <c r="K77" s="273"/>
      <c r="L77" s="273"/>
      <c r="M77" s="273"/>
      <c r="N77" s="87"/>
      <c r="O77" s="99"/>
      <c r="P77" s="99"/>
      <c r="Q77" s="99"/>
      <c r="R77" s="99"/>
      <c r="S77" s="99"/>
      <c r="T77" s="99">
        <f>val.Sect4_1.subsidiary7.companyname</f>
        <v>0</v>
      </c>
      <c r="U77" s="99">
        <f>val.Sect4_1.subsidiary7.address</f>
        <v>0</v>
      </c>
      <c r="V77" s="99">
        <f>val.Sect4_1.subsidiary7.businessactivity</f>
        <v>0</v>
      </c>
      <c r="W77" s="3"/>
      <c r="X77" s="3"/>
      <c r="Y77" s="3"/>
      <c r="Z77" s="3"/>
      <c r="AA77" s="3"/>
      <c r="AB77" s="3"/>
      <c r="AC77" s="3"/>
      <c r="AD77" s="3"/>
    </row>
    <row r="78" spans="1:30" ht="5.0999999999999996" customHeight="1" x14ac:dyDescent="0.2">
      <c r="A78" s="120">
        <v>5</v>
      </c>
      <c r="B78" s="87"/>
      <c r="C78" s="90"/>
      <c r="D78" s="90"/>
      <c r="E78" s="97"/>
      <c r="F78" s="97"/>
      <c r="G78" s="97"/>
      <c r="H78" s="97"/>
      <c r="I78" s="97"/>
      <c r="J78" s="97"/>
      <c r="K78" s="97"/>
      <c r="L78" s="97"/>
      <c r="M78" s="90"/>
      <c r="N78" s="87"/>
      <c r="O78" s="99"/>
      <c r="P78" s="99"/>
      <c r="Q78" s="99"/>
      <c r="R78" s="99"/>
      <c r="S78" s="99"/>
      <c r="T78" s="99"/>
      <c r="U78" s="99"/>
      <c r="V78" s="99"/>
      <c r="W78" s="3"/>
      <c r="X78" s="3"/>
      <c r="Y78" s="3"/>
      <c r="Z78" s="3"/>
      <c r="AA78" s="3"/>
      <c r="AB78" s="3"/>
      <c r="AC78" s="3"/>
      <c r="AD78" s="3"/>
    </row>
    <row r="79" spans="1:30" ht="17.100000000000001" customHeight="1" x14ac:dyDescent="0.2">
      <c r="A79" s="120"/>
      <c r="B79" s="87"/>
      <c r="C79" s="184"/>
      <c r="D79" s="110"/>
      <c r="E79" s="251"/>
      <c r="F79" s="251"/>
      <c r="G79" s="251"/>
      <c r="H79" s="251"/>
      <c r="I79" s="251"/>
      <c r="J79" s="216"/>
      <c r="K79" s="273"/>
      <c r="L79" s="273"/>
      <c r="M79" s="273"/>
      <c r="N79" s="87"/>
      <c r="O79" s="99"/>
      <c r="P79" s="99"/>
      <c r="Q79" s="99"/>
      <c r="R79" s="99"/>
      <c r="S79" s="99"/>
      <c r="T79" s="99">
        <f>val.Sect4_1.subsidiary8.companyname</f>
        <v>0</v>
      </c>
      <c r="U79" s="99">
        <f>val.Sect4_1.subsidiary8.address</f>
        <v>0</v>
      </c>
      <c r="V79" s="99">
        <f>val.Sect4_1.subsidiary8.businessactivity</f>
        <v>0</v>
      </c>
      <c r="W79" s="3"/>
      <c r="X79" s="3"/>
      <c r="Y79" s="3"/>
      <c r="Z79" s="3"/>
      <c r="AA79" s="3"/>
      <c r="AB79" s="3"/>
      <c r="AC79" s="3"/>
      <c r="AD79" s="3"/>
    </row>
    <row r="80" spans="1:30" ht="5.0999999999999996" customHeight="1" x14ac:dyDescent="0.2">
      <c r="A80" s="120">
        <v>5</v>
      </c>
      <c r="B80" s="87"/>
      <c r="C80" s="90"/>
      <c r="D80" s="90"/>
      <c r="E80" s="97"/>
      <c r="F80" s="97"/>
      <c r="G80" s="97"/>
      <c r="H80" s="97"/>
      <c r="I80" s="97"/>
      <c r="J80" s="97"/>
      <c r="K80" s="97"/>
      <c r="L80" s="97"/>
      <c r="M80" s="90"/>
      <c r="N80" s="87"/>
      <c r="O80" s="99"/>
      <c r="P80" s="99"/>
      <c r="Q80" s="99"/>
      <c r="R80" s="99"/>
      <c r="S80" s="99"/>
      <c r="T80" s="99"/>
      <c r="U80" s="99"/>
      <c r="V80" s="99"/>
      <c r="W80" s="3"/>
      <c r="X80" s="3"/>
      <c r="Y80" s="3"/>
      <c r="Z80" s="3"/>
      <c r="AA80" s="3"/>
      <c r="AB80" s="3"/>
      <c r="AC80" s="3"/>
      <c r="AD80" s="3"/>
    </row>
    <row r="81" spans="1:30" ht="17.100000000000001" customHeight="1" x14ac:dyDescent="0.2">
      <c r="A81" s="120"/>
      <c r="B81" s="87"/>
      <c r="C81" s="184"/>
      <c r="D81" s="110"/>
      <c r="E81" s="251"/>
      <c r="F81" s="251"/>
      <c r="G81" s="251"/>
      <c r="H81" s="251"/>
      <c r="I81" s="251"/>
      <c r="J81" s="216"/>
      <c r="K81" s="273"/>
      <c r="L81" s="273"/>
      <c r="M81" s="273"/>
      <c r="N81" s="87"/>
      <c r="O81" s="99"/>
      <c r="P81" s="99"/>
      <c r="Q81" s="99"/>
      <c r="R81" s="99"/>
      <c r="S81" s="99"/>
      <c r="T81" s="99">
        <f>val.Sect4_1.subsidiary9.companyname</f>
        <v>0</v>
      </c>
      <c r="U81" s="99">
        <f>val.Sect4_1.subsidiary9.address</f>
        <v>0</v>
      </c>
      <c r="V81" s="99">
        <f>val.Sect4_1.subsidiary9.businessactivity</f>
        <v>0</v>
      </c>
      <c r="W81" s="3"/>
      <c r="X81" s="3"/>
      <c r="Y81" s="3"/>
      <c r="Z81" s="3"/>
      <c r="AA81" s="3"/>
      <c r="AB81" s="3"/>
      <c r="AC81" s="3"/>
      <c r="AD81" s="3"/>
    </row>
    <row r="82" spans="1:30" ht="5.0999999999999996" customHeight="1" x14ac:dyDescent="0.2">
      <c r="A82" s="120">
        <v>5</v>
      </c>
      <c r="B82" s="87"/>
      <c r="C82" s="90"/>
      <c r="D82" s="90"/>
      <c r="E82" s="97"/>
      <c r="F82" s="97"/>
      <c r="G82" s="97"/>
      <c r="H82" s="97"/>
      <c r="I82" s="97"/>
      <c r="J82" s="97"/>
      <c r="K82" s="97"/>
      <c r="L82" s="97"/>
      <c r="M82" s="90"/>
      <c r="N82" s="87"/>
      <c r="O82" s="99"/>
      <c r="P82" s="99"/>
      <c r="Q82" s="99"/>
      <c r="R82" s="99"/>
      <c r="S82" s="99"/>
      <c r="T82" s="99"/>
      <c r="U82" s="99"/>
      <c r="V82" s="99"/>
      <c r="W82" s="3"/>
      <c r="X82" s="3"/>
      <c r="Y82" s="3"/>
      <c r="Z82" s="3"/>
      <c r="AA82" s="3"/>
      <c r="AB82" s="3"/>
      <c r="AC82" s="3"/>
      <c r="AD82" s="3"/>
    </row>
    <row r="83" spans="1:30" ht="17.100000000000001" customHeight="1" x14ac:dyDescent="0.2">
      <c r="A83" s="120"/>
      <c r="B83" s="87"/>
      <c r="C83" s="184"/>
      <c r="D83" s="110"/>
      <c r="E83" s="251"/>
      <c r="F83" s="251"/>
      <c r="G83" s="251"/>
      <c r="H83" s="251"/>
      <c r="I83" s="251"/>
      <c r="J83" s="216"/>
      <c r="K83" s="273"/>
      <c r="L83" s="273"/>
      <c r="M83" s="273"/>
      <c r="N83" s="87"/>
      <c r="O83" s="99"/>
      <c r="P83" s="99"/>
      <c r="Q83" s="99"/>
      <c r="R83" s="99"/>
      <c r="S83" s="99"/>
      <c r="T83" s="99">
        <f>val.Sect4_1.subsidiary10.companyname</f>
        <v>0</v>
      </c>
      <c r="U83" s="99">
        <f>val.Sect4_1.subsidiary10.address</f>
        <v>0</v>
      </c>
      <c r="V83" s="99">
        <f>val.Sect4_1.subsidiary10.businessactivity</f>
        <v>0</v>
      </c>
      <c r="W83" s="3"/>
      <c r="X83" s="3"/>
      <c r="Y83" s="3"/>
      <c r="Z83" s="3"/>
      <c r="AA83" s="3"/>
      <c r="AB83" s="3"/>
      <c r="AC83" s="3"/>
      <c r="AD83" s="3"/>
    </row>
    <row r="84" spans="1:30" ht="15" customHeight="1" x14ac:dyDescent="0.2">
      <c r="A84" s="120">
        <v>15</v>
      </c>
      <c r="B84" s="87"/>
      <c r="C84" s="90"/>
      <c r="D84" s="90"/>
      <c r="E84" s="97"/>
      <c r="F84" s="97"/>
      <c r="G84" s="97"/>
      <c r="H84" s="97"/>
      <c r="I84" s="97"/>
      <c r="J84" s="97"/>
      <c r="K84" s="97"/>
      <c r="L84" s="97"/>
      <c r="M84" s="90"/>
      <c r="N84" s="87"/>
      <c r="O84" s="3"/>
      <c r="P84" s="99"/>
      <c r="Q84" s="99"/>
      <c r="R84" s="99"/>
      <c r="S84" s="99"/>
      <c r="T84" s="99"/>
      <c r="U84" s="99"/>
      <c r="V84" s="3"/>
      <c r="W84" s="3"/>
      <c r="X84" s="3"/>
      <c r="Y84" s="3"/>
      <c r="Z84" s="3"/>
      <c r="AA84" s="3"/>
      <c r="AB84" s="3"/>
      <c r="AC84" s="3"/>
      <c r="AD84" s="3"/>
    </row>
    <row r="85" spans="1:30" ht="17.100000000000001" customHeight="1" x14ac:dyDescent="0.2">
      <c r="A85" s="120">
        <v>17</v>
      </c>
      <c r="B85" s="87" t="s">
        <v>57</v>
      </c>
      <c r="C85" s="85" t="str">
        <f>label.section4_2.Subcontractors</f>
        <v>4.2 Contractors to be included into contract</v>
      </c>
      <c r="D85" s="85"/>
      <c r="E85" s="91"/>
      <c r="F85" s="91"/>
      <c r="G85" s="91"/>
      <c r="H85" s="91"/>
      <c r="I85" s="91"/>
      <c r="J85" s="91"/>
      <c r="K85" s="114" t="str">
        <f>IF(M85="","!!! &gt;&gt;","")</f>
        <v>!!! &gt;&gt;</v>
      </c>
      <c r="L85" s="97"/>
      <c r="M85" s="185"/>
      <c r="N85" s="87"/>
      <c r="O85" s="3"/>
      <c r="P85" s="99" t="s">
        <v>324</v>
      </c>
      <c r="Q85" s="99"/>
      <c r="R85" s="99"/>
      <c r="S85" s="99"/>
      <c r="T85" s="99">
        <f>val.Sect4_2.external.YESNO</f>
        <v>0</v>
      </c>
      <c r="U85" s="99"/>
      <c r="V85" s="3"/>
      <c r="W85" s="3"/>
      <c r="X85" s="3"/>
      <c r="Y85" s="3"/>
      <c r="Z85" s="3"/>
      <c r="AA85" s="3"/>
      <c r="AB85" s="3"/>
      <c r="AC85" s="3"/>
      <c r="AD85" s="3"/>
    </row>
    <row r="86" spans="1:30" ht="5.0999999999999996" customHeight="1" x14ac:dyDescent="0.2">
      <c r="A86" s="120">
        <v>5</v>
      </c>
      <c r="B86" s="87"/>
      <c r="C86" s="89"/>
      <c r="D86" s="89"/>
      <c r="E86" s="97"/>
      <c r="F86" s="97"/>
      <c r="G86" s="97"/>
      <c r="H86" s="97"/>
      <c r="I86" s="97"/>
      <c r="J86" s="97"/>
      <c r="K86" s="97"/>
      <c r="L86" s="97"/>
      <c r="M86" s="89"/>
      <c r="N86" s="87"/>
      <c r="O86" s="3"/>
      <c r="P86" s="99"/>
      <c r="Q86" s="99"/>
      <c r="R86" s="99"/>
      <c r="S86" s="99"/>
      <c r="T86" s="99"/>
      <c r="U86" s="99"/>
      <c r="V86" s="3"/>
      <c r="W86" s="3"/>
      <c r="X86" s="3"/>
      <c r="Y86" s="3"/>
      <c r="Z86" s="3"/>
      <c r="AA86" s="3"/>
      <c r="AB86" s="3"/>
      <c r="AC86" s="3"/>
      <c r="AD86" s="3"/>
    </row>
    <row r="87" spans="1:30" ht="45" customHeight="1" x14ac:dyDescent="0.2">
      <c r="A87" s="120">
        <v>45</v>
      </c>
      <c r="B87" s="87"/>
      <c r="C87" s="111" t="str">
        <f>label.Subsidiaries.Companyname</f>
        <v>Company name</v>
      </c>
      <c r="D87" s="89"/>
      <c r="E87" s="112" t="str">
        <f>label.Subsidiaries.AdressInclCountry</f>
        <v>Postal address incl. country</v>
      </c>
      <c r="F87" s="97"/>
      <c r="G87" s="97"/>
      <c r="H87" s="97"/>
      <c r="I87" s="97"/>
      <c r="J87" s="97"/>
      <c r="K87" s="113" t="str">
        <f>label.TypeOfProduction</f>
        <v>Contract manufacturing / Own specification</v>
      </c>
      <c r="L87" s="97"/>
      <c r="M87" s="113" t="str">
        <f>label.UmsatzGT50</f>
        <v>Turnover with insured company in EUR</v>
      </c>
      <c r="N87" s="87"/>
      <c r="O87" s="3"/>
      <c r="P87" s="99"/>
      <c r="Q87" s="99"/>
      <c r="R87" s="99"/>
      <c r="S87" s="99"/>
      <c r="T87" s="99"/>
      <c r="U87" s="99"/>
      <c r="V87" s="3"/>
      <c r="W87" s="3"/>
      <c r="X87" s="3"/>
      <c r="Y87" s="3"/>
      <c r="Z87" s="3"/>
      <c r="AA87" s="3"/>
      <c r="AB87" s="3"/>
      <c r="AC87" s="3"/>
      <c r="AD87" s="3"/>
    </row>
    <row r="88" spans="1:30" ht="5.0999999999999996" customHeight="1" x14ac:dyDescent="0.2">
      <c r="A88" s="120">
        <v>5</v>
      </c>
      <c r="B88" s="87"/>
      <c r="C88" s="89"/>
      <c r="D88" s="89"/>
      <c r="E88" s="97"/>
      <c r="F88" s="97"/>
      <c r="G88" s="97"/>
      <c r="H88" s="97"/>
      <c r="I88" s="97"/>
      <c r="J88" s="97"/>
      <c r="K88" s="97"/>
      <c r="L88" s="97"/>
      <c r="M88" s="89"/>
      <c r="N88" s="87"/>
      <c r="O88" s="3"/>
      <c r="T88" s="99"/>
      <c r="U88" s="99"/>
      <c r="V88" s="3"/>
      <c r="W88" s="3"/>
      <c r="X88" s="3"/>
      <c r="Y88" s="3"/>
      <c r="Z88" s="3"/>
      <c r="AA88" s="3"/>
      <c r="AB88" s="3"/>
      <c r="AC88" s="3"/>
      <c r="AD88" s="3"/>
    </row>
    <row r="89" spans="1:30" s="4" customFormat="1" ht="17.100000000000001" customHeight="1" x14ac:dyDescent="0.2">
      <c r="A89" s="120">
        <v>17</v>
      </c>
      <c r="B89" s="92"/>
      <c r="C89" s="184"/>
      <c r="D89" s="110"/>
      <c r="E89" s="251"/>
      <c r="F89" s="251"/>
      <c r="G89" s="251"/>
      <c r="H89" s="251"/>
      <c r="I89" s="251"/>
      <c r="J89" s="109"/>
      <c r="K89" s="193"/>
      <c r="L89" s="97"/>
      <c r="M89" s="240"/>
      <c r="N89" s="92"/>
      <c r="O89" s="99"/>
      <c r="P89" s="99" t="s">
        <v>308</v>
      </c>
      <c r="Q89" s="99" t="s">
        <v>309</v>
      </c>
      <c r="R89" s="99" t="s">
        <v>310</v>
      </c>
      <c r="S89" s="99" t="s">
        <v>311</v>
      </c>
      <c r="T89" s="99">
        <f>val.Sect4_2.external1.companyname</f>
        <v>0</v>
      </c>
      <c r="U89" s="99">
        <f>val.Sect4_2.external1.address</f>
        <v>0</v>
      </c>
      <c r="V89" s="99">
        <f>val.Sect4_2.external1.ContractOwn</f>
        <v>0</v>
      </c>
      <c r="W89" s="99">
        <f>val.Sect4_2.external1.Revenue50plus</f>
        <v>0</v>
      </c>
      <c r="X89" s="93"/>
      <c r="Y89" s="93"/>
      <c r="Z89" s="93"/>
      <c r="AA89" s="93"/>
      <c r="AB89" s="93"/>
      <c r="AC89" s="93"/>
      <c r="AD89" s="93"/>
    </row>
    <row r="90" spans="1:30" ht="5.0999999999999996" customHeight="1" x14ac:dyDescent="0.2">
      <c r="A90" s="120">
        <v>5</v>
      </c>
      <c r="B90" s="87"/>
      <c r="C90" s="90"/>
      <c r="D90" s="90"/>
      <c r="E90" s="97"/>
      <c r="F90" s="97"/>
      <c r="G90" s="97"/>
      <c r="H90" s="97"/>
      <c r="I90" s="97"/>
      <c r="J90" s="97"/>
      <c r="K90" s="97"/>
      <c r="L90" s="97"/>
      <c r="M90" s="90"/>
      <c r="N90" s="87"/>
      <c r="O90" s="99"/>
      <c r="P90" s="99"/>
      <c r="Q90" s="99"/>
      <c r="R90" s="99"/>
      <c r="S90" s="99"/>
      <c r="T90" s="99"/>
      <c r="U90" s="99"/>
      <c r="V90" s="99"/>
      <c r="W90" s="99"/>
      <c r="X90" s="3"/>
      <c r="Y90" s="3"/>
      <c r="Z90" s="3"/>
      <c r="AA90" s="3"/>
      <c r="AB90" s="3"/>
      <c r="AC90" s="3"/>
      <c r="AD90" s="3"/>
    </row>
    <row r="91" spans="1:30" ht="17.100000000000001" customHeight="1" x14ac:dyDescent="0.2">
      <c r="A91" s="120">
        <v>17</v>
      </c>
      <c r="B91" s="87"/>
      <c r="C91" s="184"/>
      <c r="D91" s="110"/>
      <c r="E91" s="251"/>
      <c r="F91" s="251"/>
      <c r="G91" s="251"/>
      <c r="H91" s="251"/>
      <c r="I91" s="251"/>
      <c r="J91" s="109"/>
      <c r="K91" s="193"/>
      <c r="L91" s="97"/>
      <c r="M91" s="240"/>
      <c r="N91" s="87"/>
      <c r="O91" s="99"/>
      <c r="P91" s="99" t="s">
        <v>312</v>
      </c>
      <c r="Q91" s="99" t="s">
        <v>313</v>
      </c>
      <c r="R91" s="99" t="s">
        <v>314</v>
      </c>
      <c r="S91" s="99" t="s">
        <v>315</v>
      </c>
      <c r="T91" s="99">
        <f>val.Sect4_2.external2.companyname</f>
        <v>0</v>
      </c>
      <c r="U91" s="99">
        <f>val.Sect4_2.external2.address</f>
        <v>0</v>
      </c>
      <c r="V91" s="99">
        <f>val.Sect4_2.external2.ContractOwn</f>
        <v>0</v>
      </c>
      <c r="W91" s="99">
        <f>val.Sect4_2.external2.Revenue50plus</f>
        <v>0</v>
      </c>
    </row>
    <row r="92" spans="1:30" ht="5.0999999999999996" customHeight="1" x14ac:dyDescent="0.2">
      <c r="A92" s="120">
        <v>5</v>
      </c>
      <c r="B92" s="87"/>
      <c r="C92" s="90"/>
      <c r="D92" s="90"/>
      <c r="E92" s="97"/>
      <c r="F92" s="97"/>
      <c r="G92" s="97"/>
      <c r="H92" s="97"/>
      <c r="I92" s="97"/>
      <c r="J92" s="97"/>
      <c r="K92" s="97"/>
      <c r="L92" s="97"/>
      <c r="M92" s="90"/>
      <c r="N92" s="87"/>
      <c r="O92" s="99"/>
      <c r="P92" s="99"/>
      <c r="Q92" s="99"/>
      <c r="R92" s="99"/>
      <c r="S92" s="99"/>
      <c r="T92" s="99"/>
      <c r="U92" s="99"/>
      <c r="V92" s="99"/>
      <c r="W92" s="99"/>
    </row>
    <row r="93" spans="1:30" ht="17.100000000000001" customHeight="1" x14ac:dyDescent="0.2">
      <c r="A93" s="120">
        <v>17</v>
      </c>
      <c r="B93" s="87"/>
      <c r="C93" s="184"/>
      <c r="D93" s="110"/>
      <c r="E93" s="251"/>
      <c r="F93" s="251"/>
      <c r="G93" s="251"/>
      <c r="H93" s="251"/>
      <c r="I93" s="251"/>
      <c r="J93" s="109"/>
      <c r="K93" s="193"/>
      <c r="L93" s="97"/>
      <c r="M93" s="240"/>
      <c r="N93" s="87"/>
      <c r="O93" s="99"/>
      <c r="P93" s="99" t="s">
        <v>316</v>
      </c>
      <c r="Q93" s="99" t="s">
        <v>317</v>
      </c>
      <c r="R93" s="99" t="s">
        <v>318</v>
      </c>
      <c r="S93" s="99" t="s">
        <v>319</v>
      </c>
      <c r="T93" s="99">
        <f>val.Sect4_2.external3.companyname</f>
        <v>0</v>
      </c>
      <c r="U93" s="99">
        <f>val.Sect4_2.external3.address</f>
        <v>0</v>
      </c>
      <c r="V93" s="99">
        <f>val.Sect4_2.external3.ContractOwn</f>
        <v>0</v>
      </c>
      <c r="W93" s="99">
        <f>val.Sect4_2.external3.Revenue50plus</f>
        <v>0</v>
      </c>
    </row>
    <row r="94" spans="1:30" ht="5.0999999999999996" customHeight="1" x14ac:dyDescent="0.2">
      <c r="A94" s="120">
        <v>5</v>
      </c>
      <c r="B94" s="87"/>
      <c r="C94" s="90"/>
      <c r="D94" s="90"/>
      <c r="E94" s="97"/>
      <c r="F94" s="97"/>
      <c r="G94" s="97"/>
      <c r="H94" s="97"/>
      <c r="I94" s="97"/>
      <c r="J94" s="97"/>
      <c r="K94" s="97"/>
      <c r="L94" s="97"/>
      <c r="M94" s="90"/>
      <c r="N94" s="87"/>
      <c r="O94" s="99"/>
      <c r="P94" s="99"/>
      <c r="Q94" s="99"/>
      <c r="R94" s="99"/>
      <c r="S94" s="99"/>
      <c r="T94" s="99"/>
      <c r="U94" s="99"/>
      <c r="V94" s="99"/>
      <c r="W94" s="99"/>
    </row>
    <row r="95" spans="1:30" ht="17.100000000000001" customHeight="1" x14ac:dyDescent="0.2">
      <c r="A95" s="120">
        <v>17</v>
      </c>
      <c r="B95" s="87"/>
      <c r="C95" s="184"/>
      <c r="D95" s="110"/>
      <c r="E95" s="251"/>
      <c r="F95" s="251"/>
      <c r="G95" s="251"/>
      <c r="H95" s="251"/>
      <c r="I95" s="251"/>
      <c r="J95" s="109"/>
      <c r="K95" s="193"/>
      <c r="L95" s="97"/>
      <c r="M95" s="240"/>
      <c r="N95" s="87"/>
      <c r="O95" s="99"/>
      <c r="P95" s="99" t="s">
        <v>320</v>
      </c>
      <c r="Q95" s="99" t="s">
        <v>321</v>
      </c>
      <c r="R95" s="99" t="s">
        <v>322</v>
      </c>
      <c r="S95" s="99" t="s">
        <v>323</v>
      </c>
      <c r="T95" s="99">
        <f>val.Sect4_2.external4.companyname</f>
        <v>0</v>
      </c>
      <c r="U95" s="99">
        <f>val.Sect4_2.external4.address</f>
        <v>0</v>
      </c>
      <c r="V95" s="99">
        <f>val.Sect4_2.external4.ContractOwn</f>
        <v>0</v>
      </c>
      <c r="W95" s="99">
        <f>val.Sect4_2.external4.Revenue50plus</f>
        <v>0</v>
      </c>
    </row>
    <row r="96" spans="1:30" ht="5.0999999999999996" customHeight="1" x14ac:dyDescent="0.2">
      <c r="A96" s="120">
        <v>5</v>
      </c>
      <c r="B96" s="87"/>
      <c r="C96" s="90"/>
      <c r="D96" s="90"/>
      <c r="E96" s="97"/>
      <c r="F96" s="97"/>
      <c r="G96" s="97"/>
      <c r="H96" s="97"/>
      <c r="I96" s="97"/>
      <c r="J96" s="97"/>
      <c r="K96" s="97"/>
      <c r="L96" s="97"/>
      <c r="M96" s="90"/>
      <c r="N96" s="87"/>
      <c r="O96" s="99"/>
      <c r="P96" s="99"/>
      <c r="Q96" s="99"/>
      <c r="R96" s="99"/>
      <c r="S96" s="99"/>
      <c r="T96" s="99"/>
      <c r="U96" s="99"/>
      <c r="V96" s="99"/>
      <c r="W96" s="99"/>
    </row>
    <row r="97" spans="1:23" ht="17.100000000000001" customHeight="1" x14ac:dyDescent="0.2">
      <c r="A97" s="120">
        <v>17</v>
      </c>
      <c r="B97" s="87"/>
      <c r="C97" s="184"/>
      <c r="D97" s="110"/>
      <c r="E97" s="251"/>
      <c r="F97" s="251"/>
      <c r="G97" s="251"/>
      <c r="H97" s="251"/>
      <c r="I97" s="251"/>
      <c r="J97" s="225"/>
      <c r="K97" s="193"/>
      <c r="L97" s="97"/>
      <c r="M97" s="240"/>
      <c r="N97" s="87"/>
      <c r="O97" s="99"/>
      <c r="P97" s="99" t="s">
        <v>513</v>
      </c>
      <c r="Q97" s="99" t="s">
        <v>514</v>
      </c>
      <c r="R97" s="99" t="s">
        <v>515</v>
      </c>
      <c r="S97" s="99" t="s">
        <v>516</v>
      </c>
      <c r="T97" s="99">
        <f>val.Sect4_2.external5.companyname</f>
        <v>0</v>
      </c>
      <c r="U97" s="99">
        <f>val.Sect4_2.external5.address</f>
        <v>0</v>
      </c>
      <c r="V97" s="99">
        <f>val.Sect4_2.external5.ContractOwn</f>
        <v>0</v>
      </c>
      <c r="W97" s="99">
        <f>val.Sect4_2.external5.Revenue50plus</f>
        <v>0</v>
      </c>
    </row>
    <row r="98" spans="1:23" ht="5.0999999999999996" customHeight="1" x14ac:dyDescent="0.2">
      <c r="A98" s="120">
        <v>5</v>
      </c>
      <c r="B98" s="87"/>
      <c r="C98" s="90"/>
      <c r="D98" s="90"/>
      <c r="E98" s="97"/>
      <c r="F98" s="97"/>
      <c r="G98" s="97"/>
      <c r="H98" s="97"/>
      <c r="I98" s="97"/>
      <c r="J98" s="97"/>
      <c r="K98" s="97"/>
      <c r="L98" s="97"/>
      <c r="M98" s="90"/>
      <c r="N98" s="87"/>
      <c r="O98" s="99"/>
      <c r="P98" s="99"/>
      <c r="Q98" s="99"/>
      <c r="R98" s="99"/>
      <c r="S98" s="99"/>
      <c r="T98" s="99"/>
      <c r="U98" s="99"/>
      <c r="V98" s="99"/>
      <c r="W98" s="99"/>
    </row>
    <row r="99" spans="1:23" ht="17.100000000000001" customHeight="1" x14ac:dyDescent="0.2">
      <c r="A99" s="120">
        <v>17</v>
      </c>
      <c r="B99" s="87"/>
      <c r="C99" s="184"/>
      <c r="D99" s="110"/>
      <c r="E99" s="251"/>
      <c r="F99" s="251"/>
      <c r="G99" s="251"/>
      <c r="H99" s="251"/>
      <c r="I99" s="251"/>
      <c r="J99" s="225"/>
      <c r="K99" s="193"/>
      <c r="L99" s="97"/>
      <c r="M99" s="240"/>
      <c r="N99" s="87"/>
      <c r="O99" s="99"/>
      <c r="P99" s="99" t="s">
        <v>517</v>
      </c>
      <c r="Q99" s="99" t="s">
        <v>518</v>
      </c>
      <c r="R99" s="99" t="s">
        <v>519</v>
      </c>
      <c r="S99" s="99" t="s">
        <v>520</v>
      </c>
      <c r="T99" s="99">
        <f>val.Sect4_2.external6.companyname</f>
        <v>0</v>
      </c>
      <c r="U99" s="99">
        <f>val.Sect4_2.external6.address</f>
        <v>0</v>
      </c>
      <c r="V99" s="99">
        <f>val.Sect4_2.external6.ContractOwn</f>
        <v>0</v>
      </c>
      <c r="W99" s="99">
        <f>val.Sect4_2.external6.Revenue50plus</f>
        <v>0</v>
      </c>
    </row>
    <row r="100" spans="1:23" ht="15" customHeight="1" x14ac:dyDescent="0.2">
      <c r="A100" s="120">
        <v>15</v>
      </c>
      <c r="B100" s="87"/>
      <c r="C100" s="90"/>
      <c r="D100" s="90"/>
      <c r="E100" s="97"/>
      <c r="F100" s="97"/>
      <c r="G100" s="97"/>
      <c r="H100" s="97"/>
      <c r="I100" s="97"/>
      <c r="J100" s="97"/>
      <c r="K100" s="97"/>
      <c r="L100" s="97"/>
      <c r="M100" s="90"/>
      <c r="N100" s="87"/>
      <c r="P100" s="99"/>
      <c r="Q100" s="99"/>
      <c r="R100" s="99"/>
      <c r="S100" s="99"/>
      <c r="T100" s="99"/>
      <c r="U100" s="99"/>
    </row>
    <row r="101" spans="1:23" s="1" customFormat="1" ht="15" customHeight="1" x14ac:dyDescent="0.2">
      <c r="A101" s="120">
        <v>15</v>
      </c>
      <c r="B101" s="115"/>
      <c r="C101" s="89"/>
      <c r="D101" s="89"/>
      <c r="E101" s="89"/>
      <c r="F101" s="150"/>
      <c r="G101" s="150"/>
      <c r="H101" s="150"/>
      <c r="I101" s="150"/>
      <c r="J101" s="150"/>
      <c r="K101" s="150"/>
      <c r="L101" s="150"/>
      <c r="M101" s="150"/>
      <c r="N101" s="115"/>
      <c r="P101" s="170"/>
      <c r="Q101" s="170"/>
      <c r="R101" s="170"/>
      <c r="S101" s="170"/>
      <c r="T101" s="170"/>
      <c r="U101" s="170"/>
    </row>
    <row r="102" spans="1:23" s="1" customFormat="1" ht="15" customHeight="1" x14ac:dyDescent="0.2">
      <c r="A102" s="120">
        <v>15</v>
      </c>
      <c r="B102" s="115"/>
      <c r="C102" s="89"/>
      <c r="D102" s="89"/>
      <c r="E102" s="89"/>
      <c r="F102" s="150"/>
      <c r="G102" s="150"/>
      <c r="H102" s="150"/>
      <c r="I102" s="150"/>
      <c r="J102" s="150"/>
      <c r="K102" s="150"/>
      <c r="L102" s="150"/>
      <c r="M102" s="150"/>
      <c r="N102" s="115"/>
      <c r="P102" s="170"/>
      <c r="Q102" s="170"/>
      <c r="R102" s="170"/>
      <c r="S102" s="170"/>
      <c r="T102" s="170"/>
      <c r="U102" s="170"/>
    </row>
    <row r="103" spans="1:23" s="1" customFormat="1" ht="15" customHeight="1" x14ac:dyDescent="0.2">
      <c r="A103" s="120">
        <v>15</v>
      </c>
      <c r="B103" s="115"/>
      <c r="C103" s="89"/>
      <c r="D103" s="89"/>
      <c r="E103" s="89"/>
      <c r="F103" s="150"/>
      <c r="G103" s="150"/>
      <c r="H103" s="150"/>
      <c r="I103" s="150"/>
      <c r="J103" s="150"/>
      <c r="K103" s="150"/>
      <c r="L103" s="150"/>
      <c r="M103" s="150"/>
      <c r="N103" s="115"/>
      <c r="P103" s="170"/>
      <c r="Q103" s="170"/>
      <c r="R103" s="170"/>
      <c r="S103" s="170"/>
      <c r="T103" s="170"/>
      <c r="U103" s="170"/>
    </row>
    <row r="104" spans="1:23" s="1" customFormat="1" ht="15" customHeight="1" x14ac:dyDescent="0.2">
      <c r="A104" s="120">
        <v>15</v>
      </c>
      <c r="B104" s="115"/>
      <c r="C104" s="89"/>
      <c r="D104" s="89"/>
      <c r="E104" s="89"/>
      <c r="F104" s="150"/>
      <c r="G104" s="150"/>
      <c r="H104" s="150"/>
      <c r="I104" s="150"/>
      <c r="J104" s="150"/>
      <c r="K104" s="150"/>
      <c r="L104" s="150"/>
      <c r="M104" s="150"/>
      <c r="N104" s="115"/>
      <c r="P104" s="170"/>
      <c r="Q104" s="170"/>
      <c r="R104" s="170"/>
      <c r="S104" s="170"/>
      <c r="T104" s="170"/>
      <c r="U104" s="170"/>
    </row>
    <row r="105" spans="1:23" s="1" customFormat="1" ht="15" customHeight="1" x14ac:dyDescent="0.2">
      <c r="A105" s="120">
        <v>15</v>
      </c>
      <c r="B105" s="115"/>
      <c r="C105" s="89"/>
      <c r="D105" s="89"/>
      <c r="E105" s="89"/>
      <c r="F105" s="150"/>
      <c r="G105" s="150"/>
      <c r="H105" s="150"/>
      <c r="I105" s="150"/>
      <c r="J105" s="150"/>
      <c r="K105" s="150"/>
      <c r="L105" s="150"/>
      <c r="M105" s="150"/>
      <c r="N105" s="115"/>
      <c r="P105" s="170"/>
      <c r="Q105" s="170"/>
      <c r="R105" s="170"/>
      <c r="S105" s="170"/>
      <c r="T105" s="170"/>
      <c r="U105" s="170"/>
    </row>
    <row r="106" spans="1:23" s="1" customFormat="1" ht="15" customHeight="1" x14ac:dyDescent="0.2">
      <c r="A106" s="120">
        <v>15</v>
      </c>
      <c r="B106" s="115"/>
      <c r="C106" s="89"/>
      <c r="D106" s="89"/>
      <c r="E106" s="89"/>
      <c r="F106" s="150"/>
      <c r="G106" s="150"/>
      <c r="H106" s="150"/>
      <c r="I106" s="150"/>
      <c r="J106" s="150"/>
      <c r="K106" s="150"/>
      <c r="L106" s="150"/>
      <c r="M106" s="150"/>
      <c r="N106" s="115"/>
      <c r="P106" s="170"/>
      <c r="Q106" s="170"/>
      <c r="R106" s="170"/>
      <c r="S106" s="170"/>
      <c r="T106" s="170"/>
      <c r="U106" s="170"/>
    </row>
    <row r="107" spans="1:23" ht="15" customHeight="1" x14ac:dyDescent="0.2">
      <c r="A107" s="120">
        <v>15</v>
      </c>
      <c r="B107" s="87"/>
      <c r="C107" s="90"/>
      <c r="D107" s="90"/>
      <c r="E107" s="97"/>
      <c r="F107" s="97"/>
      <c r="G107" s="97"/>
      <c r="H107" s="97"/>
      <c r="I107" s="97"/>
      <c r="J107" s="97"/>
      <c r="K107" s="97"/>
      <c r="L107" s="97"/>
      <c r="M107" s="90"/>
      <c r="N107" s="87"/>
      <c r="P107" s="99"/>
      <c r="Q107" s="99"/>
      <c r="R107" s="99"/>
      <c r="S107" s="99"/>
      <c r="T107" s="99"/>
      <c r="U107" s="99"/>
    </row>
    <row r="108" spans="1:23" s="1" customFormat="1" ht="17.100000000000001" customHeight="1" x14ac:dyDescent="0.25">
      <c r="A108" s="120">
        <v>17</v>
      </c>
      <c r="B108" s="94" t="s">
        <v>57</v>
      </c>
      <c r="C108" s="85" t="str">
        <f>label.section5.SanctionEmbargo</f>
        <v>5. Due Diligence Questions (Prior Review Countries)</v>
      </c>
      <c r="D108" s="85"/>
      <c r="E108" s="91"/>
      <c r="F108" s="91"/>
      <c r="G108" s="91"/>
      <c r="H108" s="91"/>
      <c r="I108" s="91"/>
      <c r="J108" s="91"/>
      <c r="K108" s="91"/>
      <c r="L108" s="91"/>
      <c r="M108" s="91"/>
      <c r="N108" s="95"/>
      <c r="P108" s="99"/>
      <c r="Q108" s="99"/>
      <c r="R108" s="170"/>
      <c r="S108" s="170"/>
      <c r="T108" s="170"/>
      <c r="U108" s="170"/>
    </row>
    <row r="109" spans="1:23" ht="5.0999999999999996" customHeight="1" x14ac:dyDescent="0.2">
      <c r="A109" s="120">
        <v>5</v>
      </c>
      <c r="B109" s="87"/>
      <c r="C109" s="90"/>
      <c r="D109" s="90"/>
      <c r="E109" s="97"/>
      <c r="F109" s="97"/>
      <c r="G109" s="97"/>
      <c r="H109" s="97"/>
      <c r="I109" s="97"/>
      <c r="J109" s="97"/>
      <c r="K109" s="97"/>
      <c r="L109" s="97"/>
      <c r="M109" s="90"/>
      <c r="N109" s="87"/>
      <c r="P109" s="99"/>
      <c r="Q109" s="99"/>
      <c r="R109" s="99"/>
      <c r="S109" s="99"/>
      <c r="T109" s="99"/>
      <c r="U109" s="99"/>
    </row>
    <row r="110" spans="1:23" s="6" customFormat="1" ht="15" customHeight="1" x14ac:dyDescent="0.2">
      <c r="A110" s="120">
        <v>15</v>
      </c>
      <c r="B110" s="96"/>
      <c r="C110" s="280" t="str">
        <f>label.section5.SanctionEmbargo.insured_contractor</f>
        <v>Has the Insured Company/applicant or an Additional Insured a registered office or  a subsidiary in Iran, Syria, Cuba, Russia, Ukraine (Crimea/Sevastopol), North Korea or Venezuela or is he /are they citizen(s) of one of these countries?</v>
      </c>
      <c r="D110" s="280"/>
      <c r="E110" s="280"/>
      <c r="F110" s="280"/>
      <c r="G110" s="280"/>
      <c r="H110" s="280"/>
      <c r="I110" s="280"/>
      <c r="J110" s="89"/>
      <c r="K110" s="116" t="str">
        <f>IF(M110="","!!! &gt;&gt;","")</f>
        <v>!!! &gt;&gt;</v>
      </c>
      <c r="L110" s="97"/>
      <c r="M110" s="185"/>
      <c r="N110" s="96"/>
      <c r="P110" s="99" t="s">
        <v>531</v>
      </c>
      <c r="Q110" s="99"/>
      <c r="R110" s="171"/>
      <c r="S110" s="171"/>
      <c r="T110" s="99">
        <f>val.Sect5.SeatInSanctionedCty.YESNO</f>
        <v>0</v>
      </c>
      <c r="U110" s="171"/>
    </row>
    <row r="111" spans="1:23" ht="30" customHeight="1" x14ac:dyDescent="0.2">
      <c r="A111" s="120">
        <v>30</v>
      </c>
      <c r="B111" s="87"/>
      <c r="C111" s="280"/>
      <c r="D111" s="280"/>
      <c r="E111" s="280"/>
      <c r="F111" s="280"/>
      <c r="G111" s="280"/>
      <c r="H111" s="280"/>
      <c r="I111" s="280"/>
      <c r="J111" s="97"/>
      <c r="K111" s="97"/>
      <c r="L111" s="97"/>
      <c r="M111" s="90"/>
      <c r="N111" s="87"/>
      <c r="P111" s="99"/>
      <c r="Q111" s="99"/>
      <c r="R111" s="99"/>
      <c r="S111" s="99"/>
      <c r="T111" s="99"/>
      <c r="U111" s="99"/>
    </row>
    <row r="112" spans="1:23" ht="5.0999999999999996" customHeight="1" x14ac:dyDescent="0.2">
      <c r="A112" s="120">
        <v>5</v>
      </c>
      <c r="B112" s="87"/>
      <c r="C112" s="90"/>
      <c r="D112" s="90"/>
      <c r="E112" s="97"/>
      <c r="F112" s="97"/>
      <c r="G112" s="97"/>
      <c r="H112" s="97"/>
      <c r="I112" s="97"/>
      <c r="J112" s="97"/>
      <c r="K112" s="97"/>
      <c r="L112" s="97"/>
      <c r="M112" s="90"/>
      <c r="N112" s="87"/>
      <c r="P112" s="99"/>
      <c r="Q112" s="99"/>
      <c r="R112" s="99"/>
      <c r="S112" s="99"/>
      <c r="T112" s="99"/>
      <c r="U112" s="99"/>
    </row>
    <row r="113" spans="1:21" s="6" customFormat="1" ht="15" customHeight="1" x14ac:dyDescent="0.2">
      <c r="A113" s="120">
        <v>15</v>
      </c>
      <c r="B113" s="96"/>
      <c r="C113" s="272" t="str">
        <f>label.section5.SanctionEmbargo.insured_site</f>
        <v>Is the insured risk (e.g. premises, maintenance and repair activities, clients, contract partners) located in one of the a.m. countries or  do exist contracts with persons, companies or institutions situated in one of these countries?</v>
      </c>
      <c r="D113" s="272"/>
      <c r="E113" s="272"/>
      <c r="F113" s="272"/>
      <c r="G113" s="272"/>
      <c r="H113" s="272"/>
      <c r="I113" s="272"/>
      <c r="J113" s="89"/>
      <c r="K113" s="116" t="str">
        <f>IF(M113="","!!! &gt;&gt;","")</f>
        <v>!!! &gt;&gt;</v>
      </c>
      <c r="L113" s="97"/>
      <c r="M113" s="185"/>
      <c r="N113" s="96"/>
      <c r="P113" s="99" t="s">
        <v>532</v>
      </c>
      <c r="Q113" s="99"/>
      <c r="R113" s="171"/>
      <c r="S113" s="171"/>
      <c r="T113" s="99">
        <f>val.Sect5.RiskInSanctionedCty.YESNO</f>
        <v>0</v>
      </c>
      <c r="U113" s="171"/>
    </row>
    <row r="114" spans="1:21" ht="15" customHeight="1" x14ac:dyDescent="0.2">
      <c r="A114" s="120">
        <v>15</v>
      </c>
      <c r="B114" s="87"/>
      <c r="C114" s="272"/>
      <c r="D114" s="272"/>
      <c r="E114" s="272"/>
      <c r="F114" s="272"/>
      <c r="G114" s="272"/>
      <c r="H114" s="272"/>
      <c r="I114" s="272"/>
      <c r="J114" s="97"/>
      <c r="K114" s="97"/>
      <c r="L114" s="97"/>
      <c r="M114" s="90"/>
      <c r="N114" s="87"/>
      <c r="P114" s="99"/>
      <c r="Q114" s="99"/>
      <c r="R114" s="99"/>
      <c r="S114" s="99"/>
      <c r="T114" s="99"/>
      <c r="U114" s="99"/>
    </row>
    <row r="115" spans="1:21" ht="15" customHeight="1" x14ac:dyDescent="0.2">
      <c r="A115" s="120">
        <v>15</v>
      </c>
      <c r="B115" s="87"/>
      <c r="C115" s="272"/>
      <c r="D115" s="272"/>
      <c r="E115" s="272"/>
      <c r="F115" s="272"/>
      <c r="G115" s="272"/>
      <c r="H115" s="272"/>
      <c r="I115" s="272"/>
      <c r="J115" s="97"/>
      <c r="K115" s="97"/>
      <c r="L115" s="97"/>
      <c r="M115" s="90"/>
      <c r="N115" s="87"/>
      <c r="P115" s="99"/>
      <c r="Q115" s="99"/>
      <c r="R115" s="99"/>
      <c r="S115" s="99"/>
      <c r="T115" s="99"/>
      <c r="U115" s="99"/>
    </row>
    <row r="116" spans="1:21" ht="5.0999999999999996" customHeight="1" x14ac:dyDescent="0.2">
      <c r="A116" s="120">
        <v>5</v>
      </c>
      <c r="B116" s="87"/>
      <c r="C116" s="90"/>
      <c r="D116" s="90"/>
      <c r="E116" s="97"/>
      <c r="F116" s="97"/>
      <c r="G116" s="97"/>
      <c r="H116" s="97"/>
      <c r="I116" s="97"/>
      <c r="J116" s="97"/>
      <c r="K116" s="97"/>
      <c r="L116" s="97"/>
      <c r="M116" s="90"/>
      <c r="N116" s="87"/>
      <c r="P116" s="99"/>
      <c r="Q116" s="99"/>
      <c r="R116" s="99"/>
      <c r="S116" s="99"/>
      <c r="T116" s="99"/>
      <c r="U116" s="99"/>
    </row>
    <row r="117" spans="1:21" s="6" customFormat="1" ht="15" customHeight="1" x14ac:dyDescent="0.2">
      <c r="A117" s="120">
        <v>15</v>
      </c>
      <c r="B117" s="96"/>
      <c r="C117" s="272" t="str">
        <f>label.section5.SanctionEmbargo.insured_subsidiary</f>
        <v>Is the Insured Company/applicant a subsidiary of a company with registered  office in one of the a.m. countries or owned by a person or institution of these countries?</v>
      </c>
      <c r="D117" s="272"/>
      <c r="E117" s="272"/>
      <c r="F117" s="272"/>
      <c r="G117" s="272"/>
      <c r="H117" s="272"/>
      <c r="I117" s="272"/>
      <c r="J117" s="89"/>
      <c r="K117" s="116" t="str">
        <f>IF(M117="","!!! &gt;&gt;","")</f>
        <v>!!! &gt;&gt;</v>
      </c>
      <c r="L117" s="97"/>
      <c r="M117" s="185"/>
      <c r="N117" s="96"/>
      <c r="P117" s="99" t="s">
        <v>533</v>
      </c>
      <c r="Q117" s="99"/>
      <c r="R117" s="171"/>
      <c r="S117" s="171"/>
      <c r="T117" s="99">
        <f>val.Sect5.RelatedToSanctionedCty.YESNO</f>
        <v>0</v>
      </c>
      <c r="U117" s="171"/>
    </row>
    <row r="118" spans="1:21" ht="15" customHeight="1" x14ac:dyDescent="0.2">
      <c r="A118" s="120">
        <v>15</v>
      </c>
      <c r="B118" s="87"/>
      <c r="C118" s="272"/>
      <c r="D118" s="272"/>
      <c r="E118" s="272"/>
      <c r="F118" s="272"/>
      <c r="G118" s="272"/>
      <c r="H118" s="272"/>
      <c r="I118" s="272"/>
      <c r="J118" s="97"/>
      <c r="K118" s="97"/>
      <c r="L118" s="97"/>
      <c r="M118" s="90"/>
      <c r="N118" s="87"/>
      <c r="P118" s="99"/>
      <c r="Q118" s="99"/>
      <c r="R118" s="99"/>
      <c r="S118" s="99"/>
      <c r="T118" s="99"/>
      <c r="U118" s="99"/>
    </row>
    <row r="119" spans="1:21" ht="5.0999999999999996" customHeight="1" x14ac:dyDescent="0.2">
      <c r="A119" s="120">
        <v>5</v>
      </c>
      <c r="B119" s="87"/>
      <c r="C119" s="90"/>
      <c r="D119" s="90"/>
      <c r="E119" s="97"/>
      <c r="F119" s="97"/>
      <c r="G119" s="97"/>
      <c r="H119" s="97"/>
      <c r="I119" s="97"/>
      <c r="J119" s="97"/>
      <c r="K119" s="97"/>
      <c r="L119" s="97"/>
      <c r="M119" s="90"/>
      <c r="N119" s="87"/>
      <c r="P119" s="99"/>
      <c r="Q119" s="99"/>
      <c r="R119" s="99"/>
      <c r="S119" s="99"/>
      <c r="T119" s="99"/>
      <c r="U119" s="99"/>
    </row>
    <row r="120" spans="1:21" s="6" customFormat="1" ht="15" customHeight="1" x14ac:dyDescent="0.2">
      <c r="A120" s="120">
        <v>15</v>
      </c>
      <c r="B120" s="96"/>
      <c r="C120" s="272" t="str">
        <f>label.section5.SanctionEmbargo.exports</f>
        <v>Are there any known (direct-) exports into of the a.m. countries or are these sales representatives or clients in these countries?</v>
      </c>
      <c r="D120" s="272"/>
      <c r="E120" s="272"/>
      <c r="F120" s="272"/>
      <c r="G120" s="272"/>
      <c r="H120" s="272"/>
      <c r="I120" s="272"/>
      <c r="J120" s="89"/>
      <c r="K120" s="116" t="str">
        <f>IF(M120="","!!! &gt;&gt;","")</f>
        <v>!!! &gt;&gt;</v>
      </c>
      <c r="L120" s="97"/>
      <c r="M120" s="185"/>
      <c r="N120" s="96"/>
      <c r="P120" s="99" t="s">
        <v>534</v>
      </c>
      <c r="Q120" s="99"/>
      <c r="R120" s="171"/>
      <c r="S120" s="171"/>
      <c r="T120" s="99">
        <f>val.Sect5.ExportsToSanctionedCty.YESNO</f>
        <v>0</v>
      </c>
      <c r="U120" s="171"/>
    </row>
    <row r="121" spans="1:21" s="6" customFormat="1" ht="15" customHeight="1" x14ac:dyDescent="0.2">
      <c r="A121" s="120">
        <v>15</v>
      </c>
      <c r="B121" s="96"/>
      <c r="C121" s="272"/>
      <c r="D121" s="272"/>
      <c r="E121" s="272"/>
      <c r="F121" s="272"/>
      <c r="G121" s="272"/>
      <c r="H121" s="272"/>
      <c r="I121" s="272"/>
      <c r="J121" s="89"/>
      <c r="K121" s="116"/>
      <c r="L121" s="97"/>
      <c r="M121" s="90"/>
      <c r="N121" s="96"/>
      <c r="P121" s="171"/>
      <c r="Q121" s="171"/>
      <c r="R121" s="171"/>
      <c r="S121" s="171"/>
      <c r="T121" s="171"/>
      <c r="U121" s="171"/>
    </row>
    <row r="122" spans="1:21" ht="5.0999999999999996" customHeight="1" x14ac:dyDescent="0.2">
      <c r="A122" s="120">
        <v>5</v>
      </c>
      <c r="B122" s="87"/>
      <c r="C122" s="90"/>
      <c r="D122" s="90"/>
      <c r="E122" s="97"/>
      <c r="F122" s="97"/>
      <c r="G122" s="97"/>
      <c r="H122" s="97"/>
      <c r="I122" s="97"/>
      <c r="J122" s="97"/>
      <c r="K122" s="97"/>
      <c r="L122" s="97"/>
      <c r="M122" s="90"/>
      <c r="N122" s="87"/>
      <c r="P122" s="99"/>
      <c r="Q122" s="99"/>
      <c r="R122" s="99"/>
      <c r="S122" s="99"/>
      <c r="T122" s="99"/>
      <c r="U122" s="99"/>
    </row>
    <row r="123" spans="1:21" s="6" customFormat="1" ht="15" customHeight="1" x14ac:dyDescent="0.2">
      <c r="A123" s="121">
        <v>15</v>
      </c>
      <c r="B123" s="96"/>
      <c r="C123" s="272" t="str">
        <f>label.section5.SanctionEmbargo.exports_countries</f>
        <v xml:space="preserve">   If yes, in which countries?</v>
      </c>
      <c r="D123" s="272"/>
      <c r="E123" s="272"/>
      <c r="F123" s="274"/>
      <c r="G123" s="274"/>
      <c r="H123" s="274"/>
      <c r="I123" s="274"/>
      <c r="J123" s="97"/>
      <c r="K123" s="277" t="str">
        <f>IF(AND(OR(M120="Ja",M120="Yes",M120="Oui"),ISBLANK(F123)),label.section5.SanctionEmbargo.exports_HINTcountries,"")</f>
        <v/>
      </c>
      <c r="L123" s="277"/>
      <c r="M123" s="277"/>
      <c r="N123" s="96"/>
      <c r="P123" s="99" t="s">
        <v>535</v>
      </c>
      <c r="Q123" s="99"/>
      <c r="R123" s="171"/>
      <c r="S123" s="171"/>
      <c r="T123" s="99">
        <f>val.Sect5.CtyListOfExportsToSanctionedCty</f>
        <v>0</v>
      </c>
      <c r="U123" s="171"/>
    </row>
    <row r="124" spans="1:21" ht="15" customHeight="1" x14ac:dyDescent="0.2">
      <c r="A124" s="120">
        <v>15</v>
      </c>
      <c r="B124" s="87"/>
      <c r="C124" s="117"/>
      <c r="D124" s="117"/>
      <c r="E124" s="117"/>
      <c r="F124" s="274"/>
      <c r="G124" s="274"/>
      <c r="H124" s="274"/>
      <c r="I124" s="274"/>
      <c r="J124" s="97"/>
      <c r="K124" s="277"/>
      <c r="L124" s="277"/>
      <c r="M124" s="277"/>
      <c r="N124" s="87"/>
      <c r="P124" s="99"/>
      <c r="Q124" s="99"/>
      <c r="R124" s="99"/>
      <c r="S124" s="99"/>
      <c r="T124" s="99"/>
      <c r="U124" s="99"/>
    </row>
    <row r="125" spans="1:21" ht="15" customHeight="1" x14ac:dyDescent="0.2">
      <c r="A125" s="120">
        <v>15</v>
      </c>
      <c r="B125" s="87"/>
      <c r="C125" s="90"/>
      <c r="D125" s="90"/>
      <c r="E125" s="97"/>
      <c r="F125" s="97"/>
      <c r="G125" s="97"/>
      <c r="H125" s="97"/>
      <c r="I125" s="97"/>
      <c r="J125" s="97"/>
      <c r="K125" s="97"/>
      <c r="L125" s="97"/>
      <c r="M125" s="90"/>
      <c r="N125" s="87"/>
      <c r="P125" s="99"/>
      <c r="Q125" s="99"/>
      <c r="R125" s="99"/>
      <c r="S125" s="99"/>
      <c r="T125" s="99"/>
      <c r="U125" s="99"/>
    </row>
    <row r="126" spans="1:21" s="1" customFormat="1" ht="17.100000000000001" customHeight="1" x14ac:dyDescent="0.2">
      <c r="A126" s="120">
        <v>17</v>
      </c>
      <c r="B126" s="94" t="s">
        <v>57</v>
      </c>
      <c r="C126" s="85" t="str">
        <f>label.section6.CoverageStart</f>
        <v>6. Inception date</v>
      </c>
      <c r="D126" s="85"/>
      <c r="E126" s="91"/>
      <c r="F126" s="91"/>
      <c r="G126" s="91"/>
      <c r="H126" s="91"/>
      <c r="I126" s="91"/>
      <c r="J126" s="91"/>
      <c r="K126" s="91"/>
      <c r="L126" s="91"/>
      <c r="M126" s="91"/>
      <c r="N126" s="94"/>
      <c r="Q126" s="170"/>
      <c r="R126" s="170"/>
      <c r="S126" s="170"/>
      <c r="T126" s="170"/>
      <c r="U126" s="170"/>
    </row>
    <row r="127" spans="1:21" ht="5.0999999999999996" customHeight="1" x14ac:dyDescent="0.2">
      <c r="A127" s="120">
        <v>5</v>
      </c>
      <c r="B127" s="87"/>
      <c r="C127" s="90"/>
      <c r="D127" s="90"/>
      <c r="E127" s="97"/>
      <c r="F127" s="97"/>
      <c r="G127" s="97"/>
      <c r="H127" s="97"/>
      <c r="I127" s="97"/>
      <c r="J127" s="97"/>
      <c r="K127" s="97"/>
      <c r="L127" s="97"/>
      <c r="M127" s="90"/>
      <c r="N127" s="87"/>
      <c r="P127" s="99"/>
      <c r="Q127" s="99"/>
      <c r="R127" s="99"/>
      <c r="S127" s="99"/>
      <c r="T127" s="99"/>
      <c r="U127" s="99"/>
    </row>
    <row r="128" spans="1:21" s="1" customFormat="1" ht="15" customHeight="1" x14ac:dyDescent="0.2">
      <c r="A128" s="120">
        <v>15</v>
      </c>
      <c r="B128" s="94"/>
      <c r="C128" s="118" t="str">
        <f>label.section6.CoverageStart.Value</f>
        <v>Inception date:</v>
      </c>
      <c r="D128" s="90"/>
      <c r="E128" s="90"/>
      <c r="F128" s="186">
        <v>43753</v>
      </c>
      <c r="G128" s="94"/>
      <c r="H128" s="287" t="str">
        <f>label.section6.CoverageStart.hint</f>
        <v>Note: In any case coverage will end on Oct., 15th, of every year!</v>
      </c>
      <c r="I128" s="287"/>
      <c r="J128" s="287"/>
      <c r="K128" s="287"/>
      <c r="L128" s="287"/>
      <c r="M128" s="287"/>
      <c r="N128" s="94"/>
      <c r="P128" s="170" t="s">
        <v>541</v>
      </c>
      <c r="Q128" s="170"/>
      <c r="R128" s="170"/>
      <c r="S128" s="170"/>
      <c r="T128" s="182">
        <f>val.Sect6.StartOfInsurance</f>
        <v>43753</v>
      </c>
      <c r="U128" s="170"/>
    </row>
    <row r="129" spans="1:21" s="1" customFormat="1" ht="15" customHeight="1" x14ac:dyDescent="0.2">
      <c r="A129" s="120">
        <v>15</v>
      </c>
      <c r="B129" s="94"/>
      <c r="C129" s="94"/>
      <c r="D129" s="112"/>
      <c r="E129" s="112"/>
      <c r="F129" s="112"/>
      <c r="G129" s="112"/>
      <c r="H129" s="112"/>
      <c r="I129" s="112"/>
      <c r="J129" s="112"/>
      <c r="K129" s="112"/>
      <c r="L129" s="112"/>
      <c r="M129" s="119"/>
      <c r="N129" s="94"/>
      <c r="P129" s="170"/>
      <c r="Q129" s="170"/>
      <c r="R129" s="170"/>
      <c r="S129" s="170"/>
      <c r="T129" s="170"/>
      <c r="U129" s="170"/>
    </row>
    <row r="130" spans="1:21" s="1" customFormat="1" ht="17.100000000000001" customHeight="1" x14ac:dyDescent="0.2">
      <c r="A130" s="120">
        <v>17</v>
      </c>
      <c r="B130" s="115" t="s">
        <v>57</v>
      </c>
      <c r="C130" s="85" t="str">
        <f>label.section7.LimitOfIndemity</f>
        <v>7. Limit of indemnity</v>
      </c>
      <c r="D130" s="85"/>
      <c r="E130" s="91"/>
      <c r="F130" s="91"/>
      <c r="G130" s="91"/>
      <c r="H130" s="91"/>
      <c r="I130" s="91"/>
      <c r="J130" s="91"/>
      <c r="K130" s="91"/>
      <c r="L130" s="91"/>
      <c r="M130" s="91"/>
      <c r="N130" s="115"/>
      <c r="P130" s="170"/>
      <c r="Q130" s="170"/>
      <c r="R130" s="170"/>
      <c r="S130" s="170"/>
      <c r="T130" s="170"/>
      <c r="U130" s="170"/>
    </row>
    <row r="131" spans="1:21" s="1" customFormat="1" ht="5.0999999999999996" customHeight="1" x14ac:dyDescent="0.2">
      <c r="A131" s="120">
        <v>5</v>
      </c>
      <c r="B131" s="115"/>
      <c r="C131" s="115"/>
      <c r="D131" s="112"/>
      <c r="E131" s="112"/>
      <c r="F131" s="112"/>
      <c r="G131" s="112"/>
      <c r="H131" s="112"/>
      <c r="I131" s="112"/>
      <c r="J131" s="112"/>
      <c r="K131" s="112"/>
      <c r="L131" s="112"/>
      <c r="M131" s="89"/>
      <c r="N131" s="115"/>
      <c r="P131" s="170"/>
      <c r="Q131" s="170"/>
      <c r="R131" s="170"/>
      <c r="S131" s="170"/>
      <c r="T131" s="170"/>
      <c r="U131" s="170"/>
    </row>
    <row r="132" spans="1:21" s="1" customFormat="1" ht="19.5" customHeight="1" x14ac:dyDescent="0.2">
      <c r="A132" s="120">
        <v>20</v>
      </c>
      <c r="B132" s="115"/>
      <c r="C132" s="292" t="str">
        <f>label.section7.LimitOfIndemity.Hint1</f>
        <v>Please select for which limit of indemnity you would like to receive a quotation:</v>
      </c>
      <c r="D132" s="292"/>
      <c r="E132" s="292"/>
      <c r="F132" s="292"/>
      <c r="G132" s="292"/>
      <c r="H132" s="292"/>
      <c r="I132" s="123" t="s">
        <v>233</v>
      </c>
      <c r="J132" s="122"/>
      <c r="K132" s="241"/>
      <c r="L132" s="122"/>
      <c r="M132" s="116" t="str">
        <f>IF(val.Sect7.LimitOfIndemnity="","&lt;&lt; !!!","")</f>
        <v>&lt;&lt; !!!</v>
      </c>
      <c r="N132" s="115"/>
      <c r="P132" s="170" t="s">
        <v>542</v>
      </c>
      <c r="Q132" s="170"/>
      <c r="R132" s="170"/>
      <c r="S132" s="170"/>
      <c r="T132" s="170">
        <f>val.Sect7.LimitOfIndemnity</f>
        <v>0</v>
      </c>
      <c r="U132" s="170"/>
    </row>
    <row r="133" spans="1:21" ht="5.0999999999999996" customHeight="1" x14ac:dyDescent="0.2">
      <c r="A133" s="120">
        <v>5</v>
      </c>
      <c r="B133" s="87"/>
      <c r="C133" s="90"/>
      <c r="D133" s="90"/>
      <c r="E133" s="97"/>
      <c r="F133" s="97"/>
      <c r="G133" s="97"/>
      <c r="H133" s="97"/>
      <c r="I133" s="97"/>
      <c r="J133" s="97"/>
      <c r="K133" s="97"/>
      <c r="L133" s="97"/>
      <c r="M133" s="90"/>
      <c r="N133" s="87"/>
      <c r="P133" s="99"/>
      <c r="Q133" s="99"/>
      <c r="R133" s="99"/>
      <c r="S133" s="99"/>
      <c r="T133" s="99"/>
      <c r="U133" s="99"/>
    </row>
    <row r="134" spans="1:21" s="1" customFormat="1" ht="17.100000000000001" customHeight="1" x14ac:dyDescent="0.2">
      <c r="A134" s="120">
        <v>17</v>
      </c>
      <c r="B134" s="115"/>
      <c r="C134" s="275" t="str">
        <f>label.section7.LimitOfIndemity.Hint2</f>
        <v>Note: For any limit of indemnity please fill out a single questionnaire to receive an alternative quotation! If a split of the insured sum is necessary, please give us note and information by mail.</v>
      </c>
      <c r="D134" s="275"/>
      <c r="E134" s="275"/>
      <c r="F134" s="275"/>
      <c r="G134" s="275"/>
      <c r="H134" s="275"/>
      <c r="I134" s="275"/>
      <c r="J134" s="275"/>
      <c r="K134" s="275"/>
      <c r="L134" s="275"/>
      <c r="M134" s="275"/>
      <c r="N134" s="115"/>
      <c r="P134" s="170"/>
      <c r="Q134" s="170"/>
      <c r="R134" s="170"/>
      <c r="S134" s="170"/>
      <c r="T134" s="170"/>
      <c r="U134" s="170"/>
    </row>
    <row r="135" spans="1:21" s="1" customFormat="1" ht="17.100000000000001" customHeight="1" x14ac:dyDescent="0.2">
      <c r="A135" s="120">
        <v>17</v>
      </c>
      <c r="B135" s="115"/>
      <c r="C135" s="275"/>
      <c r="D135" s="275"/>
      <c r="E135" s="275"/>
      <c r="F135" s="275"/>
      <c r="G135" s="275"/>
      <c r="H135" s="275"/>
      <c r="I135" s="275"/>
      <c r="J135" s="275"/>
      <c r="K135" s="275"/>
      <c r="L135" s="275"/>
      <c r="M135" s="275"/>
      <c r="N135" s="115"/>
      <c r="P135" s="170"/>
      <c r="Q135" s="170"/>
      <c r="R135" s="170"/>
      <c r="S135" s="170"/>
      <c r="T135" s="170"/>
      <c r="U135" s="170"/>
    </row>
    <row r="136" spans="1:21" s="1" customFormat="1" ht="15" customHeight="1" x14ac:dyDescent="0.2">
      <c r="A136" s="120">
        <v>15</v>
      </c>
      <c r="B136" s="115"/>
      <c r="C136" s="115"/>
      <c r="D136" s="112"/>
      <c r="E136" s="112"/>
      <c r="F136" s="112"/>
      <c r="G136" s="112"/>
      <c r="H136" s="112"/>
      <c r="I136" s="112"/>
      <c r="J136" s="112"/>
      <c r="K136" s="112"/>
      <c r="L136" s="112"/>
      <c r="M136" s="89"/>
      <c r="N136" s="115"/>
      <c r="P136" s="170"/>
      <c r="Q136" s="170"/>
      <c r="R136" s="170"/>
      <c r="S136" s="170"/>
      <c r="T136" s="170"/>
      <c r="U136" s="170"/>
    </row>
    <row r="137" spans="1:21" s="1" customFormat="1" ht="17.100000000000001" customHeight="1" x14ac:dyDescent="0.2">
      <c r="A137" s="120">
        <v>17</v>
      </c>
      <c r="B137" s="115" t="s">
        <v>57</v>
      </c>
      <c r="C137" s="85" t="str">
        <f>label.section8.NetSalesCover</f>
        <v>8. Net sales / revenue be covered (EUR)</v>
      </c>
      <c r="D137" s="85"/>
      <c r="E137" s="91"/>
      <c r="F137" s="91"/>
      <c r="G137" s="91"/>
      <c r="H137" s="91"/>
      <c r="I137" s="91"/>
      <c r="J137" s="91"/>
      <c r="K137" s="91"/>
      <c r="L137" s="91"/>
      <c r="M137" s="91"/>
      <c r="N137" s="115"/>
      <c r="P137" s="170"/>
      <c r="Q137" s="170"/>
      <c r="R137" s="170"/>
      <c r="S137" s="170"/>
      <c r="T137" s="170"/>
      <c r="U137" s="170"/>
    </row>
    <row r="138" spans="1:21" s="1" customFormat="1" ht="5.0999999999999996" customHeight="1" x14ac:dyDescent="0.2">
      <c r="A138" s="120">
        <v>5</v>
      </c>
      <c r="B138" s="115"/>
      <c r="C138" s="115"/>
      <c r="D138" s="112"/>
      <c r="E138" s="112"/>
      <c r="F138" s="112"/>
      <c r="G138" s="112"/>
      <c r="H138" s="112"/>
      <c r="I138" s="112"/>
      <c r="J138" s="112"/>
      <c r="K138" s="112"/>
      <c r="L138" s="112"/>
      <c r="M138" s="89"/>
      <c r="N138" s="115"/>
      <c r="P138" s="170"/>
      <c r="Q138" s="170"/>
      <c r="R138" s="170"/>
      <c r="S138" s="170"/>
      <c r="T138" s="170"/>
      <c r="U138" s="170"/>
    </row>
    <row r="139" spans="1:21" s="1" customFormat="1" ht="17.100000000000001" customHeight="1" x14ac:dyDescent="0.2">
      <c r="A139" s="120">
        <v>17</v>
      </c>
      <c r="B139" s="115"/>
      <c r="C139" s="275" t="str">
        <f>label.section8.NetSalesCover.Hint1</f>
        <v>Period: Estimated sales of aviation industry for the next insurance period (Oct, 15th to Oct, 15th of each year)</v>
      </c>
      <c r="D139" s="275"/>
      <c r="E139" s="275"/>
      <c r="F139" s="275"/>
      <c r="G139" s="275"/>
      <c r="H139" s="275"/>
      <c r="I139" s="275"/>
      <c r="J139" s="275"/>
      <c r="K139" s="275"/>
      <c r="L139" s="275"/>
      <c r="M139" s="275"/>
      <c r="N139" s="115"/>
      <c r="P139" s="170"/>
      <c r="Q139" s="170"/>
      <c r="R139" s="170"/>
      <c r="S139" s="170"/>
      <c r="T139" s="170"/>
      <c r="U139" s="170"/>
    </row>
    <row r="140" spans="1:21" s="1" customFormat="1" ht="5.0999999999999996" customHeight="1" x14ac:dyDescent="0.2">
      <c r="A140" s="120">
        <v>5</v>
      </c>
      <c r="B140" s="115"/>
      <c r="C140" s="115"/>
      <c r="D140" s="112"/>
      <c r="E140" s="112"/>
      <c r="F140" s="112"/>
      <c r="G140" s="112"/>
      <c r="H140" s="112"/>
      <c r="I140" s="112"/>
      <c r="J140" s="112"/>
      <c r="K140" s="112"/>
      <c r="L140" s="112"/>
      <c r="M140" s="89"/>
      <c r="N140" s="115"/>
      <c r="P140" s="170"/>
      <c r="Q140" s="170"/>
      <c r="R140" s="170"/>
      <c r="S140" s="170"/>
      <c r="T140" s="170"/>
      <c r="U140" s="170"/>
    </row>
    <row r="141" spans="1:21" s="1" customFormat="1" ht="17.100000000000001" customHeight="1" x14ac:dyDescent="0.2">
      <c r="A141" s="120">
        <v>17</v>
      </c>
      <c r="B141" s="115"/>
      <c r="C141" s="276" t="str">
        <f>label.section8.NetSalesCover.Hint2</f>
        <v>Please fill in all relevant fields to garantuee a binding offer to be issued. Thank you!</v>
      </c>
      <c r="D141" s="276"/>
      <c r="E141" s="276"/>
      <c r="F141" s="276"/>
      <c r="G141" s="276"/>
      <c r="H141" s="276"/>
      <c r="I141" s="276"/>
      <c r="J141" s="276"/>
      <c r="K141" s="276"/>
      <c r="L141" s="276"/>
      <c r="M141" s="276"/>
      <c r="N141" s="115"/>
      <c r="P141" s="170"/>
      <c r="Q141" s="170"/>
      <c r="R141" s="170"/>
      <c r="S141" s="170"/>
      <c r="T141" s="170"/>
      <c r="U141" s="170"/>
    </row>
    <row r="142" spans="1:21" s="1" customFormat="1" ht="5.0999999999999996" customHeight="1" x14ac:dyDescent="0.2">
      <c r="A142" s="120">
        <v>5</v>
      </c>
      <c r="B142" s="115"/>
      <c r="C142" s="115"/>
      <c r="D142" s="112"/>
      <c r="E142" s="112"/>
      <c r="F142" s="112"/>
      <c r="G142" s="112"/>
      <c r="H142" s="112"/>
      <c r="I142" s="112"/>
      <c r="J142" s="112"/>
      <c r="K142" s="112"/>
      <c r="L142" s="112"/>
      <c r="M142" s="89"/>
      <c r="N142" s="115"/>
      <c r="P142" s="170"/>
      <c r="Q142" s="170"/>
      <c r="R142" s="170"/>
      <c r="S142" s="170"/>
      <c r="T142" s="170"/>
      <c r="U142" s="170"/>
    </row>
    <row r="143" spans="1:21" s="1" customFormat="1" ht="17.100000000000001" customHeight="1" x14ac:dyDescent="0.2">
      <c r="A143" s="120">
        <v>17</v>
      </c>
      <c r="B143" s="115" t="s">
        <v>57</v>
      </c>
      <c r="C143" s="85" t="str">
        <f>label.section8_1.ManufacturingDistribution</f>
        <v>8.1 Manufacturing / distribution of parts / assembly for aircraft / work on aircrafts</v>
      </c>
      <c r="D143" s="85"/>
      <c r="E143" s="91"/>
      <c r="F143" s="91"/>
      <c r="G143" s="91"/>
      <c r="H143" s="91"/>
      <c r="I143" s="91"/>
      <c r="J143" s="91"/>
      <c r="K143" s="91"/>
      <c r="L143" s="91"/>
      <c r="M143" s="91"/>
      <c r="N143" s="115"/>
      <c r="P143" s="170"/>
      <c r="Q143" s="170"/>
      <c r="R143" s="170"/>
      <c r="S143" s="170"/>
      <c r="T143" s="170"/>
      <c r="U143" s="170"/>
    </row>
    <row r="144" spans="1:21" s="1" customFormat="1" ht="5.0999999999999996" customHeight="1" thickBot="1" x14ac:dyDescent="0.25">
      <c r="A144" s="120">
        <v>5</v>
      </c>
      <c r="B144" s="115"/>
      <c r="C144" s="115"/>
      <c r="D144" s="112"/>
      <c r="E144" s="112"/>
      <c r="F144" s="112"/>
      <c r="G144" s="112"/>
      <c r="H144" s="112"/>
      <c r="I144" s="112"/>
      <c r="J144" s="112"/>
      <c r="K144" s="112"/>
      <c r="L144" s="112"/>
      <c r="M144" s="89"/>
      <c r="N144" s="115"/>
      <c r="P144" s="170"/>
      <c r="Q144" s="170"/>
      <c r="R144" s="170"/>
      <c r="S144" s="170"/>
      <c r="T144" s="170"/>
      <c r="U144" s="170"/>
    </row>
    <row r="145" spans="1:21" s="1" customFormat="1" ht="28.5" hidden="1" customHeight="1" x14ac:dyDescent="0.2">
      <c r="A145" s="120"/>
      <c r="B145" s="115"/>
      <c r="C145" s="89"/>
      <c r="D145" s="89"/>
      <c r="E145" s="127" t="s">
        <v>242</v>
      </c>
      <c r="F145" s="127" t="s">
        <v>236</v>
      </c>
      <c r="G145" s="127" t="s">
        <v>237</v>
      </c>
      <c r="H145" s="127" t="s">
        <v>243</v>
      </c>
      <c r="I145" s="127" t="s">
        <v>238</v>
      </c>
      <c r="J145" s="127"/>
      <c r="K145" s="127" t="s">
        <v>239</v>
      </c>
      <c r="L145" s="126"/>
      <c r="M145" s="126" t="s">
        <v>244</v>
      </c>
      <c r="N145" s="115"/>
      <c r="P145" s="170"/>
      <c r="Q145" s="170"/>
      <c r="R145" s="170"/>
      <c r="S145" s="170"/>
      <c r="T145" s="170"/>
      <c r="U145" s="170"/>
    </row>
    <row r="146" spans="1:21" s="2" customFormat="1" ht="15" customHeight="1" thickTop="1" x14ac:dyDescent="0.2">
      <c r="A146" s="120">
        <v>15</v>
      </c>
      <c r="B146" s="174" t="s">
        <v>329</v>
      </c>
      <c r="C146" s="197" t="s">
        <v>345</v>
      </c>
      <c r="D146" s="134"/>
      <c r="E146" s="133" t="s">
        <v>240</v>
      </c>
      <c r="F146" s="136" t="s">
        <v>240</v>
      </c>
      <c r="G146" s="138" t="s">
        <v>240</v>
      </c>
      <c r="H146" s="133" t="s">
        <v>240</v>
      </c>
      <c r="I146" s="136" t="s">
        <v>240</v>
      </c>
      <c r="J146" s="137"/>
      <c r="K146" s="136" t="s">
        <v>240</v>
      </c>
      <c r="L146" s="157"/>
      <c r="M146" s="128" t="s">
        <v>240</v>
      </c>
      <c r="N146" s="92"/>
      <c r="P146" s="1"/>
      <c r="Q146" s="172"/>
      <c r="R146" s="172"/>
      <c r="S146" s="172"/>
      <c r="T146" s="1"/>
      <c r="U146" s="172"/>
    </row>
    <row r="147" spans="1:21" s="2" customFormat="1" ht="15" customHeight="1" x14ac:dyDescent="0.2">
      <c r="A147" s="120">
        <v>15</v>
      </c>
      <c r="B147" s="174"/>
      <c r="C147" s="198" t="s">
        <v>345</v>
      </c>
      <c r="D147" s="162"/>
      <c r="E147" s="263" t="str">
        <f>label.section8.Table.HeadlineAirbus</f>
        <v>Airbus group</v>
      </c>
      <c r="F147" s="264"/>
      <c r="G147" s="265"/>
      <c r="H147" s="266" t="str">
        <f>label.section8.Table.HeadlineNonAirbus</f>
        <v>Other manufacturers</v>
      </c>
      <c r="I147" s="267"/>
      <c r="J147" s="267"/>
      <c r="K147" s="267"/>
      <c r="L147" s="163"/>
      <c r="M147" s="164"/>
      <c r="N147" s="92"/>
      <c r="P147" s="1"/>
      <c r="Q147" s="172"/>
      <c r="R147" s="172"/>
      <c r="S147" s="172"/>
      <c r="T147" s="1"/>
      <c r="U147" s="172"/>
    </row>
    <row r="148" spans="1:21" s="2" customFormat="1" ht="45" customHeight="1" x14ac:dyDescent="0.2">
      <c r="A148" s="120">
        <v>45</v>
      </c>
      <c r="B148" s="92"/>
      <c r="C148" s="129" t="str">
        <f>label.section8_1.ManufacturingDistribution.Col1.Headline</f>
        <v>Deliveries of products / parts for:</v>
      </c>
      <c r="D148" s="135"/>
      <c r="E148" s="243" t="str">
        <f>label.section8.TABLES.Col03.Headline</f>
        <v>Turnover ROW</v>
      </c>
      <c r="F148" s="242" t="str">
        <f>label.section8.TABLES.Col04.Headline</f>
        <v>Turnover USA / CAN</v>
      </c>
      <c r="G148" s="244" t="str">
        <f>label.section8.TABLES.Col05.Headline</f>
        <v>Subtotal Airbus group</v>
      </c>
      <c r="H148" s="243" t="str">
        <f>label.section8.TABLES.Col06.Headline</f>
        <v>Turnover ROW</v>
      </c>
      <c r="I148" s="242" t="str">
        <f>label.section8.TABLES.Col07.Headline</f>
        <v>Turnover USA / CAN</v>
      </c>
      <c r="J148" s="245"/>
      <c r="K148" s="242" t="str">
        <f>label.section8.TABLES.Col09.Headline</f>
        <v>Subtotal other manufacturers</v>
      </c>
      <c r="L148" s="246"/>
      <c r="M148" s="247" t="str">
        <f>label.section8.TABLES.Col11.Headline</f>
        <v>Plan sales to be insured</v>
      </c>
      <c r="N148" s="92"/>
      <c r="P148" s="172"/>
      <c r="Q148" s="172"/>
      <c r="R148" s="172"/>
      <c r="S148" s="172"/>
      <c r="T148" s="172"/>
      <c r="U148" s="172"/>
    </row>
    <row r="149" spans="1:21" s="1" customFormat="1" ht="5.0999999999999996" customHeight="1" x14ac:dyDescent="0.2">
      <c r="A149" s="120">
        <v>5</v>
      </c>
      <c r="B149" s="115"/>
      <c r="C149" s="130"/>
      <c r="D149" s="112"/>
      <c r="E149" s="112"/>
      <c r="F149" s="112"/>
      <c r="G149" s="112"/>
      <c r="H149" s="112"/>
      <c r="I149" s="112"/>
      <c r="J149" s="112"/>
      <c r="K149" s="112"/>
      <c r="L149" s="158"/>
      <c r="M149" s="131"/>
      <c r="N149" s="115"/>
      <c r="P149" s="170"/>
      <c r="Q149" s="170"/>
      <c r="R149" s="170"/>
      <c r="S149" s="170"/>
      <c r="T149" s="170"/>
      <c r="U149" s="170"/>
    </row>
    <row r="150" spans="1:21" s="1" customFormat="1" ht="17.100000000000001" customHeight="1" x14ac:dyDescent="0.2">
      <c r="A150" s="120">
        <v>17</v>
      </c>
      <c r="B150" s="115"/>
      <c r="C150" s="132" t="str">
        <f>label.section8.TABLES.Line1.Head</f>
        <v>Aircraft civil</v>
      </c>
      <c r="D150" s="135"/>
      <c r="E150" s="187"/>
      <c r="F150" s="188"/>
      <c r="G150" s="175">
        <f t="shared" ref="G150:G156" si="0">SUM(E150:F150)</f>
        <v>0</v>
      </c>
      <c r="H150" s="187"/>
      <c r="I150" s="188"/>
      <c r="J150" s="147"/>
      <c r="K150" s="177">
        <f t="shared" ref="K150:K156" si="1">SUM(H150:I150)</f>
        <v>0</v>
      </c>
      <c r="L150" s="179"/>
      <c r="M150" s="155">
        <f t="shared" ref="M150:M158" si="2">SUM(G150,K150)</f>
        <v>0</v>
      </c>
      <c r="N150" s="115"/>
      <c r="Q150" s="170"/>
      <c r="R150" s="170"/>
      <c r="S150" s="170"/>
      <c r="T150" s="170"/>
      <c r="U150" s="170"/>
    </row>
    <row r="151" spans="1:21" s="1" customFormat="1" ht="17.100000000000001" customHeight="1" x14ac:dyDescent="0.2">
      <c r="A151" s="120">
        <v>17</v>
      </c>
      <c r="B151" s="115"/>
      <c r="C151" s="132" t="str">
        <f>label.section8.TABLES.Line2.Head</f>
        <v>Aircraft military</v>
      </c>
      <c r="D151" s="135"/>
      <c r="E151" s="187"/>
      <c r="F151" s="188"/>
      <c r="G151" s="175">
        <f t="shared" si="0"/>
        <v>0</v>
      </c>
      <c r="H151" s="187"/>
      <c r="I151" s="188"/>
      <c r="J151" s="147"/>
      <c r="K151" s="177">
        <f t="shared" si="1"/>
        <v>0</v>
      </c>
      <c r="L151" s="179"/>
      <c r="M151" s="155">
        <f t="shared" si="2"/>
        <v>0</v>
      </c>
      <c r="N151" s="115"/>
      <c r="Q151" s="170"/>
      <c r="R151" s="170"/>
      <c r="S151" s="170"/>
      <c r="T151" s="170"/>
      <c r="U151" s="170"/>
    </row>
    <row r="152" spans="1:21" s="1" customFormat="1" ht="17.100000000000001" customHeight="1" x14ac:dyDescent="0.2">
      <c r="A152" s="120">
        <v>17</v>
      </c>
      <c r="B152" s="115"/>
      <c r="C152" s="132" t="str">
        <f>label.section8.TABLES.Line3.Head</f>
        <v>Helicopter civil</v>
      </c>
      <c r="D152" s="135"/>
      <c r="E152" s="187"/>
      <c r="F152" s="188"/>
      <c r="G152" s="175">
        <f t="shared" si="0"/>
        <v>0</v>
      </c>
      <c r="H152" s="187"/>
      <c r="I152" s="188"/>
      <c r="J152" s="147"/>
      <c r="K152" s="177">
        <f t="shared" si="1"/>
        <v>0</v>
      </c>
      <c r="L152" s="179"/>
      <c r="M152" s="155">
        <f t="shared" si="2"/>
        <v>0</v>
      </c>
      <c r="N152" s="115"/>
      <c r="Q152" s="170"/>
      <c r="R152" s="170"/>
      <c r="S152" s="170"/>
      <c r="T152" s="170"/>
      <c r="U152" s="170"/>
    </row>
    <row r="153" spans="1:21" s="1" customFormat="1" ht="17.100000000000001" customHeight="1" x14ac:dyDescent="0.2">
      <c r="A153" s="120">
        <v>17</v>
      </c>
      <c r="B153" s="115"/>
      <c r="C153" s="132" t="str">
        <f>label.section8.TABLES.Line4.Head</f>
        <v>Helicopter military</v>
      </c>
      <c r="D153" s="135"/>
      <c r="E153" s="187"/>
      <c r="F153" s="188"/>
      <c r="G153" s="175">
        <f t="shared" si="0"/>
        <v>0</v>
      </c>
      <c r="H153" s="187"/>
      <c r="I153" s="188"/>
      <c r="J153" s="147"/>
      <c r="K153" s="177">
        <f t="shared" si="1"/>
        <v>0</v>
      </c>
      <c r="L153" s="179"/>
      <c r="M153" s="155">
        <f t="shared" si="2"/>
        <v>0</v>
      </c>
      <c r="N153" s="115"/>
      <c r="Q153" s="170"/>
      <c r="R153" s="170"/>
      <c r="S153" s="170"/>
      <c r="T153" s="170"/>
      <c r="U153" s="170"/>
    </row>
    <row r="154" spans="1:21" s="1" customFormat="1" ht="17.100000000000001" customHeight="1" x14ac:dyDescent="0.2">
      <c r="A154" s="120">
        <v>17</v>
      </c>
      <c r="B154" s="115"/>
      <c r="C154" s="132" t="str">
        <f>label.section8.TABLES.Line5.Head</f>
        <v>Aeronautics civil</v>
      </c>
      <c r="D154" s="135"/>
      <c r="E154" s="187"/>
      <c r="F154" s="188"/>
      <c r="G154" s="175">
        <f t="shared" si="0"/>
        <v>0</v>
      </c>
      <c r="H154" s="187"/>
      <c r="I154" s="188"/>
      <c r="J154" s="147"/>
      <c r="K154" s="177">
        <f t="shared" si="1"/>
        <v>0</v>
      </c>
      <c r="L154" s="179"/>
      <c r="M154" s="155">
        <f t="shared" si="2"/>
        <v>0</v>
      </c>
      <c r="N154" s="115"/>
      <c r="Q154" s="170"/>
      <c r="R154" s="170"/>
      <c r="S154" s="170"/>
      <c r="T154" s="170"/>
      <c r="U154" s="170"/>
    </row>
    <row r="155" spans="1:21" s="1" customFormat="1" ht="17.100000000000001" customHeight="1" x14ac:dyDescent="0.2">
      <c r="A155" s="120">
        <v>17</v>
      </c>
      <c r="B155" s="115"/>
      <c r="C155" s="132" t="str">
        <f>label.section8.TABLES.Line6.Head</f>
        <v>Aeronautics military</v>
      </c>
      <c r="D155" s="135"/>
      <c r="E155" s="187"/>
      <c r="F155" s="188"/>
      <c r="G155" s="175">
        <f t="shared" si="0"/>
        <v>0</v>
      </c>
      <c r="H155" s="187"/>
      <c r="I155" s="188"/>
      <c r="J155" s="147"/>
      <c r="K155" s="177">
        <f t="shared" si="1"/>
        <v>0</v>
      </c>
      <c r="L155" s="179"/>
      <c r="M155" s="155">
        <f t="shared" si="2"/>
        <v>0</v>
      </c>
      <c r="N155" s="115"/>
      <c r="Q155" s="170"/>
      <c r="R155" s="170"/>
      <c r="S155" s="170"/>
      <c r="T155" s="170"/>
      <c r="U155" s="170"/>
    </row>
    <row r="156" spans="1:21" s="1" customFormat="1" ht="17.100000000000001" customHeight="1" thickBot="1" x14ac:dyDescent="0.25">
      <c r="A156" s="120">
        <v>17</v>
      </c>
      <c r="B156" s="115"/>
      <c r="C156" s="142" t="str">
        <f>label.section8.TABLES.Line7.Head</f>
        <v>Space</v>
      </c>
      <c r="D156" s="143"/>
      <c r="E156" s="189"/>
      <c r="F156" s="190"/>
      <c r="G156" s="176">
        <f t="shared" si="0"/>
        <v>0</v>
      </c>
      <c r="H156" s="189"/>
      <c r="I156" s="190"/>
      <c r="J156" s="148"/>
      <c r="K156" s="178">
        <f t="shared" si="1"/>
        <v>0</v>
      </c>
      <c r="L156" s="180"/>
      <c r="M156" s="156">
        <f t="shared" si="2"/>
        <v>0</v>
      </c>
      <c r="N156" s="115"/>
      <c r="P156" s="170"/>
      <c r="Q156" s="170"/>
      <c r="R156" s="170"/>
      <c r="S156" s="170"/>
      <c r="T156" s="170"/>
      <c r="U156" s="170"/>
    </row>
    <row r="157" spans="1:21" s="1" customFormat="1" ht="5.0999999999999996" customHeight="1" thickBot="1" x14ac:dyDescent="0.25">
      <c r="A157" s="120">
        <v>5</v>
      </c>
      <c r="B157" s="115"/>
      <c r="C157" s="151"/>
      <c r="D157" s="152"/>
      <c r="E157" s="152"/>
      <c r="F157" s="152"/>
      <c r="G157" s="152"/>
      <c r="H157" s="152"/>
      <c r="I157" s="152"/>
      <c r="J157" s="152"/>
      <c r="K157" s="152"/>
      <c r="L157" s="152"/>
      <c r="M157" s="153"/>
      <c r="N157" s="115"/>
      <c r="P157" s="170"/>
      <c r="Q157" s="170"/>
      <c r="R157" s="170"/>
      <c r="S157" s="170"/>
      <c r="T157" s="170"/>
      <c r="U157" s="170"/>
    </row>
    <row r="158" spans="1:21" s="1" customFormat="1" ht="17.100000000000001" customHeight="1" thickBot="1" x14ac:dyDescent="0.25">
      <c r="A158" s="120">
        <v>17</v>
      </c>
      <c r="B158" s="115"/>
      <c r="C158" s="139" t="str">
        <f>label.section8.TABLES.Line8.Head</f>
        <v>Total revenue</v>
      </c>
      <c r="D158" s="140"/>
      <c r="E158" s="144">
        <f>SUM(E150:E156)</f>
        <v>0</v>
      </c>
      <c r="F158" s="144">
        <f>SUM(F150:F156)</f>
        <v>0</v>
      </c>
      <c r="G158" s="145">
        <f>SUM(G150:G156)</f>
        <v>0</v>
      </c>
      <c r="H158" s="144">
        <f>SUM(H150:H156)</f>
        <v>0</v>
      </c>
      <c r="I158" s="146">
        <f>SUM(I150:I156)</f>
        <v>0</v>
      </c>
      <c r="J158" s="144"/>
      <c r="K158" s="154">
        <f>SUM(K150:K156)</f>
        <v>0</v>
      </c>
      <c r="L158" s="141"/>
      <c r="M158" s="149">
        <f t="shared" si="2"/>
        <v>0</v>
      </c>
      <c r="N158" s="115"/>
      <c r="Q158" s="170"/>
      <c r="R158" s="170"/>
      <c r="S158" s="170"/>
      <c r="T158" s="170"/>
      <c r="U158" s="170"/>
    </row>
    <row r="159" spans="1:21" s="1" customFormat="1" ht="9.9499999999999993" customHeight="1" thickTop="1" x14ac:dyDescent="0.2">
      <c r="A159" s="120">
        <v>10</v>
      </c>
      <c r="B159" s="115"/>
      <c r="C159" s="89"/>
      <c r="D159" s="89"/>
      <c r="E159" s="89"/>
      <c r="F159" s="150"/>
      <c r="G159" s="150"/>
      <c r="H159" s="150"/>
      <c r="I159" s="150"/>
      <c r="J159" s="150"/>
      <c r="K159" s="150"/>
      <c r="L159" s="150"/>
      <c r="M159" s="150"/>
      <c r="N159" s="115"/>
      <c r="Q159" s="170"/>
      <c r="R159" s="170"/>
      <c r="S159" s="170"/>
      <c r="T159" s="170"/>
      <c r="U159" s="170"/>
    </row>
    <row r="160" spans="1:21" s="1" customFormat="1" ht="15" customHeight="1" x14ac:dyDescent="0.2">
      <c r="A160" s="120">
        <v>15</v>
      </c>
      <c r="B160" s="115"/>
      <c r="C160" s="268" t="str">
        <f>label.section8_1.ManufacturingDistribution.AIRBUS</f>
        <v>* Please name the companies of Airbus group (incl. Tier1 to Airbus group) to which your company sells / delivers to:</v>
      </c>
      <c r="D160" s="268"/>
      <c r="E160" s="268"/>
      <c r="F160" s="268"/>
      <c r="G160" s="268"/>
      <c r="H160" s="268"/>
      <c r="I160" s="268"/>
      <c r="J160" s="268"/>
      <c r="K160" s="268"/>
      <c r="L160" s="268"/>
      <c r="M160" s="268"/>
      <c r="N160" s="115"/>
      <c r="P160" s="170"/>
      <c r="Q160" s="170"/>
      <c r="R160" s="170"/>
      <c r="S160" s="170"/>
      <c r="T160" s="170"/>
      <c r="U160" s="170"/>
    </row>
    <row r="161" spans="1:21" s="1" customFormat="1" ht="5.0999999999999996" customHeight="1" thickBot="1" x14ac:dyDescent="0.25">
      <c r="A161" s="120">
        <v>5</v>
      </c>
      <c r="B161" s="115"/>
      <c r="C161" s="115"/>
      <c r="D161" s="112"/>
      <c r="E161" s="112"/>
      <c r="F161" s="112"/>
      <c r="G161" s="112"/>
      <c r="H161" s="112"/>
      <c r="I161" s="112"/>
      <c r="J161" s="112"/>
      <c r="K161" s="112"/>
      <c r="L161" s="112"/>
      <c r="M161" s="89"/>
      <c r="N161" s="115"/>
      <c r="P161" s="170"/>
      <c r="Q161" s="170"/>
      <c r="R161" s="170"/>
      <c r="S161" s="170"/>
      <c r="T161" s="170"/>
      <c r="U161" s="170"/>
    </row>
    <row r="162" spans="1:21" s="1" customFormat="1" ht="17.100000000000001" customHeight="1" x14ac:dyDescent="0.2">
      <c r="A162" s="120">
        <v>17</v>
      </c>
      <c r="B162" s="115"/>
      <c r="C162" s="284"/>
      <c r="D162" s="285"/>
      <c r="E162" s="285"/>
      <c r="F162" s="285"/>
      <c r="G162" s="285"/>
      <c r="H162" s="285"/>
      <c r="I162" s="285"/>
      <c r="J162" s="285"/>
      <c r="K162" s="285"/>
      <c r="L162" s="285"/>
      <c r="M162" s="286"/>
      <c r="N162" s="115"/>
      <c r="P162" s="170"/>
      <c r="Q162" s="170"/>
      <c r="R162" s="170"/>
      <c r="S162" s="170"/>
      <c r="T162" s="170"/>
      <c r="U162" s="170"/>
    </row>
    <row r="163" spans="1:21" s="1" customFormat="1" ht="17.100000000000001" customHeight="1" x14ac:dyDescent="0.2">
      <c r="A163" s="120">
        <v>17</v>
      </c>
      <c r="B163" s="115"/>
      <c r="C163" s="253"/>
      <c r="D163" s="254"/>
      <c r="E163" s="254"/>
      <c r="F163" s="254"/>
      <c r="G163" s="254"/>
      <c r="H163" s="254"/>
      <c r="I163" s="254"/>
      <c r="J163" s="254"/>
      <c r="K163" s="254"/>
      <c r="L163" s="254"/>
      <c r="M163" s="255"/>
      <c r="N163" s="115"/>
      <c r="P163" s="170"/>
      <c r="Q163" s="170"/>
      <c r="R163" s="170"/>
      <c r="S163" s="170"/>
      <c r="T163" s="170"/>
      <c r="U163" s="170"/>
    </row>
    <row r="164" spans="1:21" s="1" customFormat="1" ht="17.100000000000001" customHeight="1" x14ac:dyDescent="0.2">
      <c r="A164" s="120">
        <v>17</v>
      </c>
      <c r="B164" s="115"/>
      <c r="C164" s="253"/>
      <c r="D164" s="254"/>
      <c r="E164" s="254"/>
      <c r="F164" s="254"/>
      <c r="G164" s="254"/>
      <c r="H164" s="254"/>
      <c r="I164" s="254"/>
      <c r="J164" s="254"/>
      <c r="K164" s="254"/>
      <c r="L164" s="254"/>
      <c r="M164" s="255"/>
      <c r="N164" s="115"/>
      <c r="P164" s="170"/>
      <c r="Q164" s="170"/>
      <c r="R164" s="170"/>
      <c r="S164" s="170"/>
      <c r="T164" s="170"/>
      <c r="U164" s="170"/>
    </row>
    <row r="165" spans="1:21" s="1" customFormat="1" ht="17.100000000000001" customHeight="1" thickBot="1" x14ac:dyDescent="0.25">
      <c r="A165" s="120">
        <v>17</v>
      </c>
      <c r="B165" s="115"/>
      <c r="C165" s="256"/>
      <c r="D165" s="257"/>
      <c r="E165" s="257"/>
      <c r="F165" s="257"/>
      <c r="G165" s="257"/>
      <c r="H165" s="257"/>
      <c r="I165" s="257"/>
      <c r="J165" s="257"/>
      <c r="K165" s="257"/>
      <c r="L165" s="257"/>
      <c r="M165" s="258"/>
      <c r="N165" s="115"/>
      <c r="P165" s="170"/>
      <c r="Q165" s="170"/>
      <c r="R165" s="170"/>
      <c r="S165" s="170"/>
      <c r="T165" s="170"/>
      <c r="U165" s="170"/>
    </row>
    <row r="166" spans="1:21" s="1" customFormat="1" ht="9.9499999999999993" customHeight="1" x14ac:dyDescent="0.2">
      <c r="A166" s="120">
        <v>10</v>
      </c>
      <c r="B166" s="115"/>
      <c r="C166" s="89"/>
      <c r="D166" s="89"/>
      <c r="E166" s="89"/>
      <c r="F166" s="150"/>
      <c r="G166" s="150"/>
      <c r="H166" s="150"/>
      <c r="I166" s="150"/>
      <c r="J166" s="150"/>
      <c r="K166" s="150"/>
      <c r="L166" s="150"/>
      <c r="M166" s="150"/>
      <c r="N166" s="115"/>
      <c r="P166" s="170"/>
      <c r="Q166" s="170"/>
      <c r="R166" s="170"/>
      <c r="S166" s="170"/>
      <c r="T166" s="170"/>
      <c r="U166" s="170"/>
    </row>
    <row r="167" spans="1:21" s="1" customFormat="1" ht="15" customHeight="1" x14ac:dyDescent="0.2">
      <c r="A167" s="120">
        <v>15</v>
      </c>
      <c r="B167" s="115"/>
      <c r="C167" s="268" t="str">
        <f>label.section8_1.ManufacturingDistribution.Supplier</f>
        <v>** Please name the other manufacturers you sell / deliver to:</v>
      </c>
      <c r="D167" s="268"/>
      <c r="E167" s="268"/>
      <c r="F167" s="268"/>
      <c r="G167" s="268"/>
      <c r="H167" s="268"/>
      <c r="I167" s="268"/>
      <c r="J167" s="268"/>
      <c r="K167" s="268"/>
      <c r="L167" s="268"/>
      <c r="M167" s="268"/>
      <c r="N167" s="115"/>
      <c r="P167" s="170"/>
      <c r="Q167" s="170"/>
      <c r="R167" s="170"/>
      <c r="S167" s="170"/>
      <c r="T167" s="170"/>
      <c r="U167" s="170"/>
    </row>
    <row r="168" spans="1:21" s="1" customFormat="1" ht="5.0999999999999996" customHeight="1" thickBot="1" x14ac:dyDescent="0.25">
      <c r="A168" s="120">
        <v>5</v>
      </c>
      <c r="B168" s="115"/>
      <c r="C168" s="115"/>
      <c r="D168" s="112"/>
      <c r="E168" s="112"/>
      <c r="F168" s="112"/>
      <c r="G168" s="112"/>
      <c r="H168" s="112"/>
      <c r="I168" s="112"/>
      <c r="J168" s="112"/>
      <c r="K168" s="112"/>
      <c r="L168" s="112"/>
      <c r="M168" s="89"/>
      <c r="N168" s="115"/>
      <c r="P168" s="170"/>
      <c r="Q168" s="170"/>
      <c r="R168" s="170"/>
      <c r="S168" s="170"/>
      <c r="T168" s="170"/>
      <c r="U168" s="170"/>
    </row>
    <row r="169" spans="1:21" s="1" customFormat="1" ht="17.100000000000001" customHeight="1" x14ac:dyDescent="0.2">
      <c r="A169" s="120">
        <v>17</v>
      </c>
      <c r="B169" s="115"/>
      <c r="C169" s="284"/>
      <c r="D169" s="285"/>
      <c r="E169" s="285"/>
      <c r="F169" s="285"/>
      <c r="G169" s="285"/>
      <c r="H169" s="285"/>
      <c r="I169" s="285"/>
      <c r="J169" s="285"/>
      <c r="K169" s="285"/>
      <c r="L169" s="285"/>
      <c r="M169" s="286"/>
      <c r="N169" s="115"/>
      <c r="P169" s="170"/>
      <c r="Q169" s="170"/>
      <c r="R169" s="170"/>
      <c r="S169" s="170"/>
      <c r="T169" s="170"/>
      <c r="U169" s="170"/>
    </row>
    <row r="170" spans="1:21" s="1" customFormat="1" ht="17.100000000000001" customHeight="1" x14ac:dyDescent="0.2">
      <c r="A170" s="120">
        <v>17</v>
      </c>
      <c r="B170" s="115"/>
      <c r="C170" s="253"/>
      <c r="D170" s="254"/>
      <c r="E170" s="254"/>
      <c r="F170" s="254"/>
      <c r="G170" s="254"/>
      <c r="H170" s="254"/>
      <c r="I170" s="254"/>
      <c r="J170" s="254"/>
      <c r="K170" s="254"/>
      <c r="L170" s="254"/>
      <c r="M170" s="255"/>
      <c r="N170" s="115"/>
      <c r="P170" s="170"/>
      <c r="Q170" s="170"/>
      <c r="R170" s="170"/>
      <c r="S170" s="170"/>
      <c r="T170" s="170"/>
      <c r="U170" s="170"/>
    </row>
    <row r="171" spans="1:21" s="1" customFormat="1" ht="17.100000000000001" customHeight="1" x14ac:dyDescent="0.2">
      <c r="A171" s="120">
        <v>17</v>
      </c>
      <c r="B171" s="115"/>
      <c r="C171" s="253"/>
      <c r="D171" s="254"/>
      <c r="E171" s="254"/>
      <c r="F171" s="254"/>
      <c r="G171" s="254"/>
      <c r="H171" s="254"/>
      <c r="I171" s="254"/>
      <c r="J171" s="254"/>
      <c r="K171" s="254"/>
      <c r="L171" s="254"/>
      <c r="M171" s="255"/>
      <c r="N171" s="115"/>
      <c r="P171" s="170"/>
      <c r="Q171" s="170"/>
      <c r="R171" s="170"/>
      <c r="S171" s="170"/>
      <c r="T171" s="170"/>
      <c r="U171" s="170"/>
    </row>
    <row r="172" spans="1:21" s="1" customFormat="1" ht="17.100000000000001" customHeight="1" thickBot="1" x14ac:dyDescent="0.25">
      <c r="A172" s="120">
        <v>17</v>
      </c>
      <c r="B172" s="115"/>
      <c r="C172" s="256"/>
      <c r="D172" s="257"/>
      <c r="E172" s="257"/>
      <c r="F172" s="257"/>
      <c r="G172" s="257"/>
      <c r="H172" s="257"/>
      <c r="I172" s="257"/>
      <c r="J172" s="257"/>
      <c r="K172" s="257"/>
      <c r="L172" s="257"/>
      <c r="M172" s="258"/>
      <c r="N172" s="115"/>
      <c r="P172" s="170"/>
      <c r="Q172" s="170"/>
      <c r="R172" s="170"/>
      <c r="S172" s="170"/>
      <c r="T172" s="170"/>
      <c r="U172" s="170"/>
    </row>
    <row r="173" spans="1:21" s="1" customFormat="1" ht="5.0999999999999996" customHeight="1" x14ac:dyDescent="0.2">
      <c r="A173" s="120">
        <v>5</v>
      </c>
      <c r="B173" s="115"/>
      <c r="C173" s="89"/>
      <c r="D173" s="89"/>
      <c r="E173" s="89"/>
      <c r="F173" s="150"/>
      <c r="G173" s="150"/>
      <c r="H173" s="150"/>
      <c r="I173" s="150"/>
      <c r="J173" s="150"/>
      <c r="K173" s="150"/>
      <c r="L173" s="150"/>
      <c r="M173" s="150"/>
      <c r="N173" s="115"/>
      <c r="P173" s="170"/>
      <c r="Q173" s="170"/>
      <c r="R173" s="170"/>
      <c r="S173" s="170"/>
      <c r="T173" s="170"/>
      <c r="U173" s="170"/>
    </row>
    <row r="174" spans="1:21" s="1" customFormat="1" ht="17.100000000000001" customHeight="1" x14ac:dyDescent="0.2">
      <c r="A174" s="120">
        <v>17</v>
      </c>
      <c r="B174" s="115" t="s">
        <v>57</v>
      </c>
      <c r="C174" s="85" t="str">
        <f>label.section8_2.EngineerconstructionServices</f>
        <v>8.2. Engineering / construction services / Software</v>
      </c>
      <c r="D174" s="85"/>
      <c r="E174" s="91"/>
      <c r="F174" s="91"/>
      <c r="G174" s="91"/>
      <c r="H174" s="91"/>
      <c r="I174" s="91"/>
      <c r="J174" s="91"/>
      <c r="K174" s="91"/>
      <c r="L174" s="91"/>
      <c r="M174" s="91"/>
      <c r="N174" s="115"/>
      <c r="P174" s="170"/>
      <c r="Q174" s="170"/>
      <c r="R174" s="170"/>
      <c r="S174" s="170"/>
      <c r="T174" s="170"/>
      <c r="U174" s="170"/>
    </row>
    <row r="175" spans="1:21" s="1" customFormat="1" ht="28.5" hidden="1" customHeight="1" x14ac:dyDescent="0.2">
      <c r="A175" s="120"/>
      <c r="B175" s="115"/>
      <c r="C175" s="89"/>
      <c r="D175" s="89"/>
      <c r="E175" s="127" t="s">
        <v>242</v>
      </c>
      <c r="F175" s="127" t="s">
        <v>236</v>
      </c>
      <c r="G175" s="127" t="s">
        <v>237</v>
      </c>
      <c r="H175" s="127" t="s">
        <v>243</v>
      </c>
      <c r="I175" s="127" t="s">
        <v>238</v>
      </c>
      <c r="J175" s="127"/>
      <c r="K175" s="127" t="s">
        <v>239</v>
      </c>
      <c r="L175" s="126"/>
      <c r="M175" s="126" t="s">
        <v>244</v>
      </c>
      <c r="N175" s="115"/>
      <c r="P175" s="170"/>
      <c r="Q175" s="170"/>
      <c r="R175" s="170"/>
      <c r="S175" s="170"/>
      <c r="T175" s="170"/>
      <c r="U175" s="170"/>
    </row>
    <row r="176" spans="1:21" s="1" customFormat="1" ht="5.0999999999999996" customHeight="1" thickBot="1" x14ac:dyDescent="0.25">
      <c r="A176" s="120">
        <v>5</v>
      </c>
      <c r="B176" s="115"/>
      <c r="C176" s="115"/>
      <c r="D176" s="112"/>
      <c r="E176" s="112"/>
      <c r="F176" s="112"/>
      <c r="G176" s="112"/>
      <c r="H176" s="112"/>
      <c r="I176" s="112"/>
      <c r="J176" s="112"/>
      <c r="K176" s="112"/>
      <c r="L176" s="112"/>
      <c r="M176" s="89"/>
      <c r="N176" s="115"/>
      <c r="P176" s="170"/>
      <c r="Q176" s="170"/>
      <c r="R176" s="170"/>
      <c r="S176" s="170"/>
      <c r="T176" s="170"/>
      <c r="U176" s="170"/>
    </row>
    <row r="177" spans="1:21" s="2" customFormat="1" ht="15" customHeight="1" thickTop="1" x14ac:dyDescent="0.2">
      <c r="A177" s="120">
        <v>15</v>
      </c>
      <c r="B177" s="174" t="s">
        <v>330</v>
      </c>
      <c r="C177" s="197" t="s">
        <v>345</v>
      </c>
      <c r="D177" s="134"/>
      <c r="E177" s="133" t="s">
        <v>240</v>
      </c>
      <c r="F177" s="136" t="s">
        <v>240</v>
      </c>
      <c r="G177" s="138" t="s">
        <v>240</v>
      </c>
      <c r="H177" s="133" t="s">
        <v>240</v>
      </c>
      <c r="I177" s="136" t="s">
        <v>240</v>
      </c>
      <c r="J177" s="137"/>
      <c r="K177" s="136" t="s">
        <v>240</v>
      </c>
      <c r="L177" s="157"/>
      <c r="M177" s="128" t="s">
        <v>240</v>
      </c>
      <c r="N177" s="92"/>
      <c r="P177" s="1"/>
      <c r="Q177" s="172"/>
      <c r="R177" s="172"/>
      <c r="S177" s="172"/>
      <c r="T177" s="1"/>
      <c r="U177" s="172"/>
    </row>
    <row r="178" spans="1:21" s="2" customFormat="1" ht="15" customHeight="1" x14ac:dyDescent="0.2">
      <c r="A178" s="120">
        <v>15</v>
      </c>
      <c r="B178" s="174" t="s">
        <v>331</v>
      </c>
      <c r="C178" s="198" t="s">
        <v>345</v>
      </c>
      <c r="D178" s="162"/>
      <c r="E178" s="263" t="str">
        <f>label.section8.Table.HeadlineAirbus</f>
        <v>Airbus group</v>
      </c>
      <c r="F178" s="264"/>
      <c r="G178" s="265"/>
      <c r="H178" s="266" t="str">
        <f>label.section8.Table.HeadlineNonAirbus</f>
        <v>Other manufacturers</v>
      </c>
      <c r="I178" s="267"/>
      <c r="J178" s="267"/>
      <c r="K178" s="267"/>
      <c r="L178" s="163"/>
      <c r="M178" s="164"/>
      <c r="N178" s="92"/>
      <c r="P178" s="1"/>
      <c r="Q178" s="172"/>
      <c r="R178" s="172"/>
      <c r="S178" s="172"/>
      <c r="T178" s="1"/>
      <c r="U178" s="172"/>
    </row>
    <row r="179" spans="1:21" s="2" customFormat="1" ht="45" customHeight="1" x14ac:dyDescent="0.2">
      <c r="A179" s="120">
        <v>45</v>
      </c>
      <c r="B179" s="92"/>
      <c r="C179" s="129" t="str">
        <f>label.section8_2.EngineerconstructionServices.Col1.Headline</f>
        <v>Provision of services / software</v>
      </c>
      <c r="D179" s="135"/>
      <c r="E179" s="243" t="str">
        <f>label.section8.TABLES.Col03.Headline</f>
        <v>Turnover ROW</v>
      </c>
      <c r="F179" s="242" t="str">
        <f>label.section8.TABLES.Col04.Headline</f>
        <v>Turnover USA / CAN</v>
      </c>
      <c r="G179" s="244" t="str">
        <f>label.section8.TABLES.Col05.Headline</f>
        <v>Subtotal Airbus group</v>
      </c>
      <c r="H179" s="243" t="str">
        <f>label.section8.TABLES.Col06.Headline</f>
        <v>Turnover ROW</v>
      </c>
      <c r="I179" s="242" t="str">
        <f>label.section8.TABLES.Col07.Headline</f>
        <v>Turnover USA / CAN</v>
      </c>
      <c r="J179" s="245"/>
      <c r="K179" s="242" t="str">
        <f>label.section8.TABLES.Col09.Headline</f>
        <v>Subtotal other manufacturers</v>
      </c>
      <c r="L179" s="246"/>
      <c r="M179" s="247" t="str">
        <f>label.section8.TABLES.Col11.Headline</f>
        <v>Plan sales to be insured</v>
      </c>
      <c r="N179" s="92"/>
      <c r="P179" s="172"/>
      <c r="Q179" s="172"/>
      <c r="R179" s="172"/>
      <c r="S179" s="172"/>
      <c r="T179" s="172"/>
      <c r="U179" s="172"/>
    </row>
    <row r="180" spans="1:21" s="1" customFormat="1" ht="5.0999999999999996" customHeight="1" x14ac:dyDescent="0.2">
      <c r="A180" s="120">
        <v>5</v>
      </c>
      <c r="B180" s="115"/>
      <c r="C180" s="130"/>
      <c r="D180" s="112"/>
      <c r="E180" s="112"/>
      <c r="F180" s="112"/>
      <c r="G180" s="112"/>
      <c r="H180" s="112"/>
      <c r="I180" s="112"/>
      <c r="J180" s="112"/>
      <c r="K180" s="112"/>
      <c r="L180" s="158"/>
      <c r="M180" s="131"/>
      <c r="N180" s="115"/>
      <c r="P180" s="170"/>
      <c r="Q180" s="170"/>
      <c r="R180" s="170"/>
      <c r="S180" s="170"/>
      <c r="T180" s="170"/>
      <c r="U180" s="170"/>
    </row>
    <row r="181" spans="1:21" s="1" customFormat="1" ht="17.100000000000001" customHeight="1" x14ac:dyDescent="0.2">
      <c r="A181" s="120">
        <v>17</v>
      </c>
      <c r="B181" s="115"/>
      <c r="C181" s="132" t="str">
        <f>label.section8.TABLES.Line1.Head</f>
        <v>Aircraft civil</v>
      </c>
      <c r="D181" s="135"/>
      <c r="E181" s="187"/>
      <c r="F181" s="188"/>
      <c r="G181" s="175">
        <f t="shared" ref="G181:G187" si="3">SUM(E181:F181)</f>
        <v>0</v>
      </c>
      <c r="H181" s="187"/>
      <c r="I181" s="188"/>
      <c r="J181" s="147"/>
      <c r="K181" s="177">
        <f t="shared" ref="K181:K187" si="4">SUM(H181:I181)</f>
        <v>0</v>
      </c>
      <c r="L181" s="179"/>
      <c r="M181" s="155">
        <f t="shared" ref="M181:M187" si="5">SUM(G181,K181)</f>
        <v>0</v>
      </c>
      <c r="N181" s="115"/>
      <c r="P181" s="170"/>
      <c r="Q181" s="170"/>
      <c r="R181" s="170"/>
      <c r="S181" s="170"/>
      <c r="T181" s="170"/>
      <c r="U181" s="170"/>
    </row>
    <row r="182" spans="1:21" s="1" customFormat="1" ht="17.100000000000001" customHeight="1" x14ac:dyDescent="0.2">
      <c r="A182" s="120">
        <v>17</v>
      </c>
      <c r="B182" s="115"/>
      <c r="C182" s="132" t="str">
        <f>label.section8.TABLES.Line2.Head</f>
        <v>Aircraft military</v>
      </c>
      <c r="D182" s="135"/>
      <c r="E182" s="187"/>
      <c r="F182" s="188"/>
      <c r="G182" s="175">
        <f t="shared" si="3"/>
        <v>0</v>
      </c>
      <c r="H182" s="187"/>
      <c r="I182" s="188"/>
      <c r="J182" s="147"/>
      <c r="K182" s="177">
        <f t="shared" si="4"/>
        <v>0</v>
      </c>
      <c r="L182" s="179"/>
      <c r="M182" s="155">
        <f t="shared" si="5"/>
        <v>0</v>
      </c>
      <c r="N182" s="115"/>
      <c r="Q182" s="170"/>
      <c r="R182" s="170"/>
      <c r="S182" s="170"/>
      <c r="T182" s="170"/>
      <c r="U182" s="170"/>
    </row>
    <row r="183" spans="1:21" s="1" customFormat="1" ht="17.100000000000001" customHeight="1" x14ac:dyDescent="0.2">
      <c r="A183" s="120">
        <v>17</v>
      </c>
      <c r="B183" s="115"/>
      <c r="C183" s="132" t="str">
        <f>label.section8.TABLES.Line3.Head</f>
        <v>Helicopter civil</v>
      </c>
      <c r="D183" s="135"/>
      <c r="E183" s="187"/>
      <c r="F183" s="188"/>
      <c r="G183" s="175">
        <f t="shared" si="3"/>
        <v>0</v>
      </c>
      <c r="H183" s="187"/>
      <c r="I183" s="188"/>
      <c r="J183" s="147"/>
      <c r="K183" s="177">
        <f t="shared" si="4"/>
        <v>0</v>
      </c>
      <c r="L183" s="179"/>
      <c r="M183" s="155">
        <f t="shared" si="5"/>
        <v>0</v>
      </c>
      <c r="N183" s="115"/>
      <c r="Q183" s="170"/>
      <c r="R183" s="170"/>
      <c r="S183" s="170"/>
      <c r="T183" s="170"/>
      <c r="U183" s="170"/>
    </row>
    <row r="184" spans="1:21" s="1" customFormat="1" ht="17.100000000000001" customHeight="1" x14ac:dyDescent="0.2">
      <c r="A184" s="120">
        <v>17</v>
      </c>
      <c r="B184" s="115"/>
      <c r="C184" s="132" t="str">
        <f>label.section8.TABLES.Line4.Head</f>
        <v>Helicopter military</v>
      </c>
      <c r="D184" s="135"/>
      <c r="E184" s="187"/>
      <c r="F184" s="188"/>
      <c r="G184" s="175">
        <f t="shared" si="3"/>
        <v>0</v>
      </c>
      <c r="H184" s="187"/>
      <c r="I184" s="188"/>
      <c r="J184" s="147"/>
      <c r="K184" s="177">
        <f t="shared" si="4"/>
        <v>0</v>
      </c>
      <c r="L184" s="179"/>
      <c r="M184" s="155">
        <f t="shared" si="5"/>
        <v>0</v>
      </c>
      <c r="N184" s="115"/>
      <c r="P184" s="170"/>
      <c r="Q184" s="170"/>
      <c r="R184" s="170"/>
      <c r="S184" s="170"/>
      <c r="T184" s="170"/>
      <c r="U184" s="170"/>
    </row>
    <row r="185" spans="1:21" s="1" customFormat="1" ht="17.100000000000001" customHeight="1" x14ac:dyDescent="0.2">
      <c r="A185" s="120">
        <v>17</v>
      </c>
      <c r="B185" s="115"/>
      <c r="C185" s="132" t="str">
        <f>label.section8.TABLES.Line5.Head</f>
        <v>Aeronautics civil</v>
      </c>
      <c r="D185" s="135"/>
      <c r="E185" s="187"/>
      <c r="F185" s="188"/>
      <c r="G185" s="175">
        <f t="shared" si="3"/>
        <v>0</v>
      </c>
      <c r="H185" s="187"/>
      <c r="I185" s="188"/>
      <c r="J185" s="147"/>
      <c r="K185" s="177">
        <f t="shared" si="4"/>
        <v>0</v>
      </c>
      <c r="L185" s="179"/>
      <c r="M185" s="155">
        <f t="shared" si="5"/>
        <v>0</v>
      </c>
      <c r="N185" s="115"/>
      <c r="P185" s="170"/>
      <c r="Q185" s="170"/>
      <c r="R185" s="170"/>
      <c r="S185" s="170"/>
      <c r="T185" s="170"/>
      <c r="U185" s="170"/>
    </row>
    <row r="186" spans="1:21" s="1" customFormat="1" ht="17.100000000000001" customHeight="1" x14ac:dyDescent="0.2">
      <c r="A186" s="120">
        <v>17</v>
      </c>
      <c r="B186" s="115"/>
      <c r="C186" s="132" t="str">
        <f>label.section8.TABLES.Line6.Head</f>
        <v>Aeronautics military</v>
      </c>
      <c r="D186" s="135"/>
      <c r="E186" s="187"/>
      <c r="F186" s="188"/>
      <c r="G186" s="175">
        <f t="shared" si="3"/>
        <v>0</v>
      </c>
      <c r="H186" s="187"/>
      <c r="I186" s="188"/>
      <c r="J186" s="147"/>
      <c r="K186" s="177">
        <f t="shared" si="4"/>
        <v>0</v>
      </c>
      <c r="L186" s="179"/>
      <c r="M186" s="155">
        <f t="shared" si="5"/>
        <v>0</v>
      </c>
      <c r="N186" s="115"/>
      <c r="P186" s="170"/>
      <c r="Q186" s="170"/>
      <c r="R186" s="170"/>
      <c r="S186" s="170"/>
      <c r="T186" s="170"/>
      <c r="U186" s="170"/>
    </row>
    <row r="187" spans="1:21" s="1" customFormat="1" ht="17.100000000000001" customHeight="1" thickBot="1" x14ac:dyDescent="0.25">
      <c r="A187" s="120">
        <v>17</v>
      </c>
      <c r="B187" s="115"/>
      <c r="C187" s="142" t="str">
        <f>label.section8.TABLES.Line7.Head</f>
        <v>Space</v>
      </c>
      <c r="D187" s="143"/>
      <c r="E187" s="187"/>
      <c r="F187" s="188"/>
      <c r="G187" s="176">
        <f t="shared" si="3"/>
        <v>0</v>
      </c>
      <c r="H187" s="187"/>
      <c r="I187" s="188"/>
      <c r="J187" s="148"/>
      <c r="K187" s="178">
        <f t="shared" si="4"/>
        <v>0</v>
      </c>
      <c r="L187" s="180"/>
      <c r="M187" s="156">
        <f t="shared" si="5"/>
        <v>0</v>
      </c>
      <c r="N187" s="115"/>
      <c r="P187" s="170"/>
      <c r="Q187" s="170"/>
      <c r="R187" s="170"/>
      <c r="S187" s="170"/>
      <c r="T187" s="170"/>
      <c r="U187" s="170"/>
    </row>
    <row r="188" spans="1:21" s="1" customFormat="1" ht="5.0999999999999996" customHeight="1" thickBot="1" x14ac:dyDescent="0.25">
      <c r="A188" s="120">
        <v>5</v>
      </c>
      <c r="B188" s="115"/>
      <c r="C188" s="151"/>
      <c r="D188" s="152"/>
      <c r="E188" s="152"/>
      <c r="F188" s="152"/>
      <c r="G188" s="152"/>
      <c r="H188" s="152"/>
      <c r="I188" s="152"/>
      <c r="J188" s="152"/>
      <c r="K188" s="152"/>
      <c r="L188" s="152"/>
      <c r="M188" s="153"/>
      <c r="N188" s="115"/>
      <c r="P188" s="170"/>
      <c r="Q188" s="170"/>
      <c r="R188" s="170"/>
      <c r="S188" s="170"/>
      <c r="T188" s="170"/>
      <c r="U188" s="170"/>
    </row>
    <row r="189" spans="1:21" s="1" customFormat="1" ht="17.100000000000001" customHeight="1" thickBot="1" x14ac:dyDescent="0.25">
      <c r="A189" s="120">
        <v>17</v>
      </c>
      <c r="B189" s="115"/>
      <c r="C189" s="139" t="str">
        <f>label.section8.TABLES.Line8.Head</f>
        <v>Total revenue</v>
      </c>
      <c r="D189" s="140"/>
      <c r="E189" s="144">
        <f>SUM(E181:E187)</f>
        <v>0</v>
      </c>
      <c r="F189" s="144">
        <f>SUM(F181:F187)</f>
        <v>0</v>
      </c>
      <c r="G189" s="145">
        <f>SUM(G181:G187)</f>
        <v>0</v>
      </c>
      <c r="H189" s="144">
        <f>SUM(H181:H187)</f>
        <v>0</v>
      </c>
      <c r="I189" s="146">
        <f>SUM(I181:I187)</f>
        <v>0</v>
      </c>
      <c r="J189" s="144"/>
      <c r="K189" s="154">
        <f>SUM(K181:K187)</f>
        <v>0</v>
      </c>
      <c r="L189" s="141"/>
      <c r="M189" s="149">
        <f>SUM(G189,K189)</f>
        <v>0</v>
      </c>
      <c r="N189" s="115"/>
      <c r="P189" s="170"/>
      <c r="Q189" s="170"/>
      <c r="R189" s="170"/>
      <c r="S189" s="170"/>
      <c r="T189" s="170"/>
      <c r="U189" s="170"/>
    </row>
    <row r="190" spans="1:21" s="1" customFormat="1" ht="9.9499999999999993" customHeight="1" thickTop="1" x14ac:dyDescent="0.2">
      <c r="A190" s="120">
        <v>10</v>
      </c>
      <c r="B190" s="115"/>
      <c r="C190" s="89"/>
      <c r="D190" s="89"/>
      <c r="E190" s="89"/>
      <c r="F190" s="150"/>
      <c r="G190" s="150"/>
      <c r="H190" s="150"/>
      <c r="I190" s="150"/>
      <c r="J190" s="150"/>
      <c r="K190" s="150"/>
      <c r="L190" s="150"/>
      <c r="M190" s="150"/>
      <c r="N190" s="115"/>
      <c r="P190" s="170"/>
      <c r="Q190" s="170"/>
      <c r="R190" s="170"/>
      <c r="S190" s="170"/>
      <c r="T190" s="170"/>
      <c r="U190" s="170"/>
    </row>
    <row r="191" spans="1:21" s="1" customFormat="1" ht="15" customHeight="1" x14ac:dyDescent="0.2">
      <c r="A191" s="120">
        <v>15</v>
      </c>
      <c r="B191" s="115"/>
      <c r="C191" s="268" t="str">
        <f>label.section8_2.EngineerconstructionServices.AIRBUS</f>
        <v>* Please name the companies of Airbus group (incl. Tier1 to Airbus group) to which your company delivers service to:</v>
      </c>
      <c r="D191" s="268"/>
      <c r="E191" s="268"/>
      <c r="F191" s="268"/>
      <c r="G191" s="268"/>
      <c r="H191" s="268"/>
      <c r="I191" s="268"/>
      <c r="J191" s="268"/>
      <c r="K191" s="268"/>
      <c r="L191" s="268"/>
      <c r="M191" s="268"/>
      <c r="N191" s="115"/>
      <c r="P191" s="170"/>
      <c r="Q191" s="170"/>
      <c r="R191" s="170"/>
      <c r="S191" s="170"/>
      <c r="T191" s="170"/>
      <c r="U191" s="170"/>
    </row>
    <row r="192" spans="1:21" s="1" customFormat="1" ht="5.0999999999999996" customHeight="1" thickBot="1" x14ac:dyDescent="0.25">
      <c r="A192" s="120">
        <v>5</v>
      </c>
      <c r="B192" s="115"/>
      <c r="C192" s="115"/>
      <c r="D192" s="112"/>
      <c r="E192" s="112"/>
      <c r="F192" s="112"/>
      <c r="G192" s="112"/>
      <c r="H192" s="112"/>
      <c r="I192" s="112"/>
      <c r="J192" s="112"/>
      <c r="K192" s="112"/>
      <c r="L192" s="112"/>
      <c r="M192" s="89"/>
      <c r="N192" s="115"/>
      <c r="P192" s="170"/>
      <c r="Q192" s="170"/>
      <c r="R192" s="170"/>
      <c r="S192" s="170"/>
      <c r="T192" s="170"/>
      <c r="U192" s="170"/>
    </row>
    <row r="193" spans="1:21" s="1" customFormat="1" ht="17.100000000000001" customHeight="1" x14ac:dyDescent="0.2">
      <c r="A193" s="120">
        <v>17</v>
      </c>
      <c r="B193" s="115"/>
      <c r="C193" s="260"/>
      <c r="D193" s="261"/>
      <c r="E193" s="261"/>
      <c r="F193" s="261"/>
      <c r="G193" s="261"/>
      <c r="H193" s="261"/>
      <c r="I193" s="261"/>
      <c r="J193" s="261"/>
      <c r="K193" s="261"/>
      <c r="L193" s="261"/>
      <c r="M193" s="262"/>
      <c r="N193" s="115"/>
      <c r="P193" s="170"/>
      <c r="Q193" s="170"/>
      <c r="R193" s="170"/>
      <c r="S193" s="170"/>
      <c r="T193" s="170"/>
      <c r="U193" s="170"/>
    </row>
    <row r="194" spans="1:21" s="1" customFormat="1" ht="17.100000000000001" customHeight="1" x14ac:dyDescent="0.2">
      <c r="A194" s="120">
        <v>17</v>
      </c>
      <c r="B194" s="115"/>
      <c r="C194" s="253"/>
      <c r="D194" s="254"/>
      <c r="E194" s="254"/>
      <c r="F194" s="254"/>
      <c r="G194" s="254"/>
      <c r="H194" s="254"/>
      <c r="I194" s="254"/>
      <c r="J194" s="254"/>
      <c r="K194" s="254"/>
      <c r="L194" s="254"/>
      <c r="M194" s="255"/>
      <c r="N194" s="115"/>
      <c r="P194" s="170"/>
      <c r="Q194" s="170"/>
      <c r="R194" s="170"/>
      <c r="S194" s="170"/>
      <c r="T194" s="170"/>
      <c r="U194" s="170"/>
    </row>
    <row r="195" spans="1:21" s="1" customFormat="1" ht="17.100000000000001" customHeight="1" x14ac:dyDescent="0.2">
      <c r="A195" s="120">
        <v>17</v>
      </c>
      <c r="B195" s="115"/>
      <c r="C195" s="253"/>
      <c r="D195" s="254"/>
      <c r="E195" s="254"/>
      <c r="F195" s="254"/>
      <c r="G195" s="254"/>
      <c r="H195" s="254"/>
      <c r="I195" s="254"/>
      <c r="J195" s="254"/>
      <c r="K195" s="254"/>
      <c r="L195" s="254"/>
      <c r="M195" s="255"/>
      <c r="N195" s="115"/>
      <c r="P195" s="170"/>
      <c r="Q195" s="170"/>
      <c r="R195" s="170"/>
      <c r="S195" s="170"/>
      <c r="T195" s="170"/>
      <c r="U195" s="170"/>
    </row>
    <row r="196" spans="1:21" s="1" customFormat="1" ht="17.100000000000001" customHeight="1" thickBot="1" x14ac:dyDescent="0.25">
      <c r="A196" s="120">
        <v>17</v>
      </c>
      <c r="B196" s="115"/>
      <c r="C196" s="256"/>
      <c r="D196" s="257"/>
      <c r="E196" s="257"/>
      <c r="F196" s="257"/>
      <c r="G196" s="257"/>
      <c r="H196" s="257"/>
      <c r="I196" s="257"/>
      <c r="J196" s="257"/>
      <c r="K196" s="257"/>
      <c r="L196" s="257"/>
      <c r="M196" s="258"/>
      <c r="N196" s="115"/>
      <c r="P196" s="170"/>
      <c r="Q196" s="170"/>
      <c r="R196" s="170"/>
      <c r="S196" s="170"/>
      <c r="T196" s="170"/>
      <c r="U196" s="170"/>
    </row>
    <row r="197" spans="1:21" s="1" customFormat="1" ht="9.9499999999999993" customHeight="1" x14ac:dyDescent="0.2">
      <c r="A197" s="120">
        <v>10</v>
      </c>
      <c r="B197" s="115"/>
      <c r="C197" s="89"/>
      <c r="D197" s="89"/>
      <c r="E197" s="89"/>
      <c r="F197" s="150"/>
      <c r="G197" s="150"/>
      <c r="H197" s="150"/>
      <c r="I197" s="150"/>
      <c r="J197" s="150"/>
      <c r="K197" s="150"/>
      <c r="L197" s="150"/>
      <c r="M197" s="150"/>
      <c r="N197" s="115"/>
      <c r="P197" s="170"/>
      <c r="Q197" s="170"/>
      <c r="R197" s="170"/>
      <c r="S197" s="170"/>
      <c r="T197" s="170"/>
      <c r="U197" s="170"/>
    </row>
    <row r="198" spans="1:21" s="1" customFormat="1" ht="15" customHeight="1" x14ac:dyDescent="0.2">
      <c r="A198" s="120">
        <v>15</v>
      </c>
      <c r="B198" s="115"/>
      <c r="C198" s="268" t="str">
        <f>label.section8_2.EngineerconstructionServices.Supplier</f>
        <v>** Please name the other manufacturers to which your company deliver services to:</v>
      </c>
      <c r="D198" s="268"/>
      <c r="E198" s="268"/>
      <c r="F198" s="268"/>
      <c r="G198" s="268"/>
      <c r="H198" s="268"/>
      <c r="I198" s="268"/>
      <c r="J198" s="268"/>
      <c r="K198" s="268"/>
      <c r="L198" s="268"/>
      <c r="M198" s="268"/>
      <c r="N198" s="115"/>
      <c r="P198" s="170"/>
      <c r="Q198" s="170"/>
      <c r="R198" s="170"/>
      <c r="S198" s="170"/>
      <c r="T198" s="170"/>
      <c r="U198" s="170"/>
    </row>
    <row r="199" spans="1:21" s="1" customFormat="1" ht="5.0999999999999996" customHeight="1" thickBot="1" x14ac:dyDescent="0.25">
      <c r="A199" s="120">
        <v>5</v>
      </c>
      <c r="B199" s="115"/>
      <c r="C199" s="115"/>
      <c r="D199" s="112"/>
      <c r="E199" s="112"/>
      <c r="F199" s="112"/>
      <c r="G199" s="112"/>
      <c r="H199" s="112"/>
      <c r="I199" s="112"/>
      <c r="J199" s="112"/>
      <c r="K199" s="112"/>
      <c r="L199" s="112"/>
      <c r="M199" s="89"/>
      <c r="N199" s="115"/>
      <c r="P199" s="170"/>
      <c r="Q199" s="170"/>
      <c r="R199" s="170"/>
      <c r="S199" s="170"/>
      <c r="T199" s="170"/>
      <c r="U199" s="170"/>
    </row>
    <row r="200" spans="1:21" s="1" customFormat="1" ht="17.100000000000001" customHeight="1" x14ac:dyDescent="0.2">
      <c r="A200" s="120">
        <v>17</v>
      </c>
      <c r="B200" s="115"/>
      <c r="C200" s="260"/>
      <c r="D200" s="261"/>
      <c r="E200" s="261"/>
      <c r="F200" s="261"/>
      <c r="G200" s="261"/>
      <c r="H200" s="261"/>
      <c r="I200" s="261"/>
      <c r="J200" s="261"/>
      <c r="K200" s="261"/>
      <c r="L200" s="261"/>
      <c r="M200" s="262"/>
      <c r="N200" s="115"/>
      <c r="P200" s="170"/>
      <c r="Q200" s="170"/>
      <c r="R200" s="170"/>
      <c r="S200" s="170"/>
      <c r="T200" s="170"/>
      <c r="U200" s="170"/>
    </row>
    <row r="201" spans="1:21" s="1" customFormat="1" ht="17.100000000000001" customHeight="1" x14ac:dyDescent="0.2">
      <c r="A201" s="120">
        <v>17</v>
      </c>
      <c r="B201" s="115"/>
      <c r="C201" s="253"/>
      <c r="D201" s="254"/>
      <c r="E201" s="254"/>
      <c r="F201" s="254"/>
      <c r="G201" s="254"/>
      <c r="H201" s="254"/>
      <c r="I201" s="254"/>
      <c r="J201" s="254"/>
      <c r="K201" s="254"/>
      <c r="L201" s="254"/>
      <c r="M201" s="255"/>
      <c r="N201" s="115"/>
      <c r="P201" s="170"/>
      <c r="Q201" s="170"/>
      <c r="R201" s="170"/>
      <c r="S201" s="170"/>
      <c r="T201" s="170"/>
      <c r="U201" s="170"/>
    </row>
    <row r="202" spans="1:21" s="1" customFormat="1" ht="17.100000000000001" customHeight="1" x14ac:dyDescent="0.2">
      <c r="A202" s="120">
        <v>17</v>
      </c>
      <c r="B202" s="115"/>
      <c r="C202" s="253"/>
      <c r="D202" s="254"/>
      <c r="E202" s="254"/>
      <c r="F202" s="254"/>
      <c r="G202" s="254"/>
      <c r="H202" s="254"/>
      <c r="I202" s="254"/>
      <c r="J202" s="254"/>
      <c r="K202" s="254"/>
      <c r="L202" s="254"/>
      <c r="M202" s="255"/>
      <c r="N202" s="115"/>
      <c r="P202" s="170"/>
      <c r="Q202" s="170"/>
      <c r="R202" s="170"/>
      <c r="S202" s="170"/>
      <c r="T202" s="170"/>
      <c r="U202" s="170"/>
    </row>
    <row r="203" spans="1:21" s="1" customFormat="1" ht="17.100000000000001" customHeight="1" thickBot="1" x14ac:dyDescent="0.25">
      <c r="A203" s="120">
        <v>17</v>
      </c>
      <c r="B203" s="115"/>
      <c r="C203" s="256"/>
      <c r="D203" s="257"/>
      <c r="E203" s="257"/>
      <c r="F203" s="257"/>
      <c r="G203" s="257"/>
      <c r="H203" s="257"/>
      <c r="I203" s="257"/>
      <c r="J203" s="257"/>
      <c r="K203" s="257"/>
      <c r="L203" s="257"/>
      <c r="M203" s="258"/>
      <c r="N203" s="115"/>
      <c r="P203" s="170"/>
      <c r="Q203" s="170"/>
      <c r="R203" s="170"/>
      <c r="S203" s="170"/>
      <c r="T203" s="170"/>
      <c r="U203" s="170"/>
    </row>
    <row r="204" spans="1:21" s="1" customFormat="1" ht="15" customHeight="1" x14ac:dyDescent="0.2">
      <c r="A204" s="120">
        <v>15</v>
      </c>
      <c r="B204" s="115"/>
      <c r="C204" s="89"/>
      <c r="D204" s="89"/>
      <c r="E204" s="89"/>
      <c r="F204" s="150"/>
      <c r="G204" s="150"/>
      <c r="H204" s="150"/>
      <c r="I204" s="150"/>
      <c r="J204" s="150"/>
      <c r="K204" s="150"/>
      <c r="L204" s="150"/>
      <c r="M204" s="150"/>
      <c r="N204" s="115"/>
      <c r="P204" s="170"/>
      <c r="Q204" s="170"/>
      <c r="R204" s="170"/>
      <c r="S204" s="170"/>
      <c r="T204" s="170"/>
      <c r="U204" s="170"/>
    </row>
    <row r="205" spans="1:21" s="1" customFormat="1" ht="17.100000000000001" customHeight="1" x14ac:dyDescent="0.2">
      <c r="A205" s="120">
        <v>17</v>
      </c>
      <c r="B205" s="115" t="s">
        <v>57</v>
      </c>
      <c r="C205" s="85" t="str">
        <f>label.section8_3.LabourLeasing</f>
        <v>8.3. Labour leasing</v>
      </c>
      <c r="D205" s="85"/>
      <c r="E205" s="91"/>
      <c r="F205" s="91"/>
      <c r="G205" s="91"/>
      <c r="H205" s="91"/>
      <c r="I205" s="91"/>
      <c r="J205" s="91"/>
      <c r="K205" s="91"/>
      <c r="L205" s="91"/>
      <c r="M205" s="91"/>
      <c r="N205" s="115"/>
      <c r="P205" s="170"/>
      <c r="Q205" s="170"/>
      <c r="R205" s="170"/>
      <c r="S205" s="170"/>
      <c r="T205" s="170"/>
      <c r="U205" s="170"/>
    </row>
    <row r="206" spans="1:21" s="1" customFormat="1" ht="28.5" hidden="1" customHeight="1" x14ac:dyDescent="0.2">
      <c r="A206" s="120"/>
      <c r="B206" s="115"/>
      <c r="C206" s="89"/>
      <c r="D206" s="89"/>
      <c r="E206" s="127" t="s">
        <v>242</v>
      </c>
      <c r="F206" s="127" t="s">
        <v>236</v>
      </c>
      <c r="G206" s="127" t="s">
        <v>237</v>
      </c>
      <c r="H206" s="127" t="s">
        <v>243</v>
      </c>
      <c r="I206" s="127" t="s">
        <v>238</v>
      </c>
      <c r="J206" s="127"/>
      <c r="K206" s="127" t="s">
        <v>239</v>
      </c>
      <c r="L206" s="126"/>
      <c r="M206" s="126" t="s">
        <v>244</v>
      </c>
      <c r="N206" s="115"/>
      <c r="P206" s="170"/>
      <c r="Q206" s="170"/>
      <c r="R206" s="170"/>
      <c r="S206" s="170"/>
      <c r="T206" s="170"/>
      <c r="U206" s="170"/>
    </row>
    <row r="207" spans="1:21" s="1" customFormat="1" ht="5.0999999999999996" customHeight="1" thickBot="1" x14ac:dyDescent="0.25">
      <c r="A207" s="120">
        <v>5</v>
      </c>
      <c r="B207" s="115"/>
      <c r="C207" s="115"/>
      <c r="D207" s="112"/>
      <c r="E207" s="112"/>
      <c r="F207" s="112"/>
      <c r="G207" s="112"/>
      <c r="H207" s="112"/>
      <c r="I207" s="112"/>
      <c r="J207" s="112"/>
      <c r="K207" s="112"/>
      <c r="L207" s="112"/>
      <c r="M207" s="89"/>
      <c r="N207" s="115"/>
      <c r="P207" s="170"/>
      <c r="Q207" s="170"/>
      <c r="R207" s="170"/>
      <c r="S207" s="170"/>
      <c r="T207" s="170"/>
      <c r="U207" s="170"/>
    </row>
    <row r="208" spans="1:21" s="2" customFormat="1" ht="15" customHeight="1" thickTop="1" x14ac:dyDescent="0.2">
      <c r="A208" s="120">
        <v>15</v>
      </c>
      <c r="B208" s="174" t="s">
        <v>332</v>
      </c>
      <c r="C208" s="197" t="s">
        <v>345</v>
      </c>
      <c r="D208" s="134"/>
      <c r="E208" s="133" t="s">
        <v>240</v>
      </c>
      <c r="F208" s="136" t="s">
        <v>240</v>
      </c>
      <c r="G208" s="138" t="s">
        <v>240</v>
      </c>
      <c r="H208" s="133" t="s">
        <v>240</v>
      </c>
      <c r="I208" s="136" t="s">
        <v>240</v>
      </c>
      <c r="J208" s="137"/>
      <c r="K208" s="136" t="s">
        <v>240</v>
      </c>
      <c r="L208" s="157"/>
      <c r="M208" s="128" t="s">
        <v>240</v>
      </c>
      <c r="N208" s="92"/>
      <c r="P208" s="1"/>
      <c r="Q208" s="172"/>
      <c r="R208" s="172"/>
      <c r="S208" s="172"/>
      <c r="T208" s="1"/>
      <c r="U208" s="172"/>
    </row>
    <row r="209" spans="1:21" s="2" customFormat="1" ht="15" customHeight="1" x14ac:dyDescent="0.2">
      <c r="A209" s="120">
        <v>15</v>
      </c>
      <c r="B209" s="174" t="s">
        <v>333</v>
      </c>
      <c r="C209" s="198" t="s">
        <v>345</v>
      </c>
      <c r="D209" s="162"/>
      <c r="E209" s="263" t="str">
        <f>label.section8.Table.HeadlineAirbus</f>
        <v>Airbus group</v>
      </c>
      <c r="F209" s="264"/>
      <c r="G209" s="265"/>
      <c r="H209" s="266" t="str">
        <f>label.section8.Table.HeadlineNonAirbus</f>
        <v>Other manufacturers</v>
      </c>
      <c r="I209" s="267"/>
      <c r="J209" s="267"/>
      <c r="K209" s="267"/>
      <c r="L209" s="163"/>
      <c r="M209" s="164"/>
      <c r="N209" s="92"/>
      <c r="P209" s="1"/>
      <c r="Q209" s="172"/>
      <c r="R209" s="172"/>
      <c r="S209" s="172"/>
      <c r="T209" s="1"/>
      <c r="U209" s="172"/>
    </row>
    <row r="210" spans="1:21" s="2" customFormat="1" ht="45" customHeight="1" x14ac:dyDescent="0.2">
      <c r="A210" s="120">
        <v>45</v>
      </c>
      <c r="B210" s="92"/>
      <c r="C210" s="129" t="str">
        <f>label.section8_3.LabourLeasing.Col1.Headline</f>
        <v>Labour leasing</v>
      </c>
      <c r="D210" s="135"/>
      <c r="E210" s="243" t="str">
        <f>label.section8.TABLES.Col03.Headline</f>
        <v>Turnover ROW</v>
      </c>
      <c r="F210" s="242" t="str">
        <f>label.section8.TABLES.Col04.Headline</f>
        <v>Turnover USA / CAN</v>
      </c>
      <c r="G210" s="244" t="str">
        <f>label.section8.TABLES.Col05.Headline</f>
        <v>Subtotal Airbus group</v>
      </c>
      <c r="H210" s="243" t="str">
        <f>label.section8.TABLES.Col06.Headline</f>
        <v>Turnover ROW</v>
      </c>
      <c r="I210" s="242" t="str">
        <f>label.section8.TABLES.Col07.Headline</f>
        <v>Turnover USA / CAN</v>
      </c>
      <c r="J210" s="245"/>
      <c r="K210" s="242" t="str">
        <f>label.section8.TABLES.Col09.Headline</f>
        <v>Subtotal other manufacturers</v>
      </c>
      <c r="L210" s="246"/>
      <c r="M210" s="247" t="str">
        <f>label.section8.TABLES.Col11.Headline</f>
        <v>Plan sales to be insured</v>
      </c>
      <c r="N210" s="92"/>
      <c r="P210" s="172"/>
      <c r="Q210" s="172"/>
      <c r="R210" s="172"/>
      <c r="S210" s="172"/>
      <c r="T210" s="172"/>
      <c r="U210" s="172"/>
    </row>
    <row r="211" spans="1:21" s="1" customFormat="1" ht="5.0999999999999996" customHeight="1" x14ac:dyDescent="0.2">
      <c r="A211" s="120">
        <v>5</v>
      </c>
      <c r="B211" s="115"/>
      <c r="C211" s="130"/>
      <c r="D211" s="112"/>
      <c r="E211" s="112"/>
      <c r="F211" s="112"/>
      <c r="G211" s="112"/>
      <c r="H211" s="112"/>
      <c r="I211" s="112"/>
      <c r="J211" s="112"/>
      <c r="K211" s="112"/>
      <c r="L211" s="158"/>
      <c r="M211" s="131"/>
      <c r="N211" s="115"/>
      <c r="P211" s="170"/>
      <c r="Q211" s="170"/>
      <c r="R211" s="170"/>
      <c r="S211" s="170"/>
      <c r="T211" s="170"/>
      <c r="U211" s="170"/>
    </row>
    <row r="212" spans="1:21" s="1" customFormat="1" ht="17.100000000000001" customHeight="1" x14ac:dyDescent="0.2">
      <c r="A212" s="120">
        <v>17</v>
      </c>
      <c r="B212" s="115"/>
      <c r="C212" s="132" t="str">
        <f>label.section8.TABLES.Line1.Head</f>
        <v>Aircraft civil</v>
      </c>
      <c r="D212" s="135"/>
      <c r="E212" s="187"/>
      <c r="F212" s="188"/>
      <c r="G212" s="175">
        <f t="shared" ref="G212:G218" si="6">SUM(E212:F212)</f>
        <v>0</v>
      </c>
      <c r="H212" s="187"/>
      <c r="I212" s="188"/>
      <c r="J212" s="147"/>
      <c r="K212" s="177">
        <f t="shared" ref="K212:K218" si="7">SUM(H212:I212)</f>
        <v>0</v>
      </c>
      <c r="L212" s="179"/>
      <c r="M212" s="155">
        <f t="shared" ref="M212:M218" si="8">SUM(G212,K212)</f>
        <v>0</v>
      </c>
      <c r="N212" s="115"/>
      <c r="P212" s="170"/>
      <c r="Q212" s="170"/>
      <c r="R212" s="170"/>
      <c r="S212" s="170"/>
      <c r="T212" s="170"/>
      <c r="U212" s="170"/>
    </row>
    <row r="213" spans="1:21" s="1" customFormat="1" ht="17.100000000000001" customHeight="1" x14ac:dyDescent="0.2">
      <c r="A213" s="120">
        <v>17</v>
      </c>
      <c r="B213" s="115"/>
      <c r="C213" s="132" t="str">
        <f>label.section8.TABLES.Line2.Head</f>
        <v>Aircraft military</v>
      </c>
      <c r="D213" s="135"/>
      <c r="E213" s="187"/>
      <c r="F213" s="188"/>
      <c r="G213" s="175">
        <f t="shared" si="6"/>
        <v>0</v>
      </c>
      <c r="H213" s="187"/>
      <c r="I213" s="188"/>
      <c r="J213" s="147"/>
      <c r="K213" s="177">
        <f t="shared" si="7"/>
        <v>0</v>
      </c>
      <c r="L213" s="179"/>
      <c r="M213" s="155">
        <f t="shared" si="8"/>
        <v>0</v>
      </c>
      <c r="N213" s="115"/>
      <c r="Q213" s="170"/>
      <c r="R213" s="170"/>
      <c r="S213" s="170"/>
      <c r="T213" s="170"/>
      <c r="U213" s="170"/>
    </row>
    <row r="214" spans="1:21" s="1" customFormat="1" ht="17.100000000000001" customHeight="1" x14ac:dyDescent="0.2">
      <c r="A214" s="120">
        <v>17</v>
      </c>
      <c r="B214" s="115"/>
      <c r="C214" s="132" t="str">
        <f>label.section8.TABLES.Line3.Head</f>
        <v>Helicopter civil</v>
      </c>
      <c r="D214" s="135"/>
      <c r="E214" s="187"/>
      <c r="F214" s="188"/>
      <c r="G214" s="175">
        <f t="shared" si="6"/>
        <v>0</v>
      </c>
      <c r="H214" s="187"/>
      <c r="I214" s="188"/>
      <c r="J214" s="147"/>
      <c r="K214" s="177">
        <f t="shared" si="7"/>
        <v>0</v>
      </c>
      <c r="L214" s="179"/>
      <c r="M214" s="155">
        <f t="shared" si="8"/>
        <v>0</v>
      </c>
      <c r="N214" s="115"/>
      <c r="Q214" s="170"/>
      <c r="R214" s="170"/>
      <c r="S214" s="170"/>
      <c r="T214" s="170"/>
      <c r="U214" s="170"/>
    </row>
    <row r="215" spans="1:21" s="1" customFormat="1" ht="17.100000000000001" customHeight="1" x14ac:dyDescent="0.2">
      <c r="A215" s="120">
        <v>17</v>
      </c>
      <c r="B215" s="115"/>
      <c r="C215" s="132" t="str">
        <f>label.section8.TABLES.Line4.Head</f>
        <v>Helicopter military</v>
      </c>
      <c r="D215" s="135"/>
      <c r="E215" s="187"/>
      <c r="F215" s="188"/>
      <c r="G215" s="175">
        <f t="shared" si="6"/>
        <v>0</v>
      </c>
      <c r="H215" s="187"/>
      <c r="I215" s="188"/>
      <c r="J215" s="147"/>
      <c r="K215" s="177">
        <f t="shared" si="7"/>
        <v>0</v>
      </c>
      <c r="L215" s="179"/>
      <c r="M215" s="155">
        <f t="shared" si="8"/>
        <v>0</v>
      </c>
      <c r="N215" s="115"/>
      <c r="P215" s="170"/>
      <c r="Q215" s="170"/>
      <c r="R215" s="170"/>
      <c r="S215" s="170"/>
      <c r="T215" s="170"/>
      <c r="U215" s="170"/>
    </row>
    <row r="216" spans="1:21" s="1" customFormat="1" ht="17.100000000000001" customHeight="1" x14ac:dyDescent="0.2">
      <c r="A216" s="120">
        <v>17</v>
      </c>
      <c r="B216" s="115"/>
      <c r="C216" s="132" t="str">
        <f>label.section8.TABLES.Line5.Head</f>
        <v>Aeronautics civil</v>
      </c>
      <c r="D216" s="135"/>
      <c r="E216" s="187"/>
      <c r="F216" s="188"/>
      <c r="G216" s="175">
        <f t="shared" si="6"/>
        <v>0</v>
      </c>
      <c r="H216" s="187"/>
      <c r="I216" s="188"/>
      <c r="J216" s="147"/>
      <c r="K216" s="177">
        <f t="shared" si="7"/>
        <v>0</v>
      </c>
      <c r="L216" s="179"/>
      <c r="M216" s="155">
        <f t="shared" si="8"/>
        <v>0</v>
      </c>
      <c r="N216" s="115"/>
      <c r="P216" s="170"/>
      <c r="Q216" s="170"/>
      <c r="R216" s="170"/>
      <c r="S216" s="170"/>
      <c r="T216" s="170"/>
      <c r="U216" s="170"/>
    </row>
    <row r="217" spans="1:21" s="1" customFormat="1" ht="17.100000000000001" customHeight="1" x14ac:dyDescent="0.2">
      <c r="A217" s="120">
        <v>17</v>
      </c>
      <c r="B217" s="115"/>
      <c r="C217" s="132" t="str">
        <f>label.section8.TABLES.Line6.Head</f>
        <v>Aeronautics military</v>
      </c>
      <c r="D217" s="135"/>
      <c r="E217" s="187"/>
      <c r="F217" s="188"/>
      <c r="G217" s="175">
        <f t="shared" si="6"/>
        <v>0</v>
      </c>
      <c r="H217" s="187"/>
      <c r="I217" s="188"/>
      <c r="J217" s="147"/>
      <c r="K217" s="177">
        <f t="shared" si="7"/>
        <v>0</v>
      </c>
      <c r="L217" s="179"/>
      <c r="M217" s="155">
        <f t="shared" si="8"/>
        <v>0</v>
      </c>
      <c r="N217" s="115"/>
      <c r="P217" s="170"/>
      <c r="Q217" s="170"/>
      <c r="R217" s="170"/>
      <c r="S217" s="170"/>
      <c r="T217" s="170"/>
      <c r="U217" s="170"/>
    </row>
    <row r="218" spans="1:21" s="1" customFormat="1" ht="17.100000000000001" customHeight="1" thickBot="1" x14ac:dyDescent="0.25">
      <c r="A218" s="120">
        <v>17</v>
      </c>
      <c r="B218" s="115"/>
      <c r="C218" s="142" t="str">
        <f>label.section8.TABLES.Line7.Head</f>
        <v>Space</v>
      </c>
      <c r="D218" s="143"/>
      <c r="E218" s="187"/>
      <c r="F218" s="188"/>
      <c r="G218" s="176">
        <f t="shared" si="6"/>
        <v>0</v>
      </c>
      <c r="H218" s="187"/>
      <c r="I218" s="188"/>
      <c r="J218" s="148"/>
      <c r="K218" s="178">
        <f t="shared" si="7"/>
        <v>0</v>
      </c>
      <c r="L218" s="180"/>
      <c r="M218" s="156">
        <f t="shared" si="8"/>
        <v>0</v>
      </c>
      <c r="N218" s="115"/>
      <c r="P218" s="170"/>
      <c r="Q218" s="170"/>
      <c r="R218" s="170"/>
      <c r="S218" s="170"/>
      <c r="T218" s="170"/>
      <c r="U218" s="170"/>
    </row>
    <row r="219" spans="1:21" s="1" customFormat="1" ht="5.0999999999999996" customHeight="1" thickBot="1" x14ac:dyDescent="0.25">
      <c r="A219" s="120">
        <v>5</v>
      </c>
      <c r="B219" s="115"/>
      <c r="C219" s="151"/>
      <c r="D219" s="152"/>
      <c r="E219" s="152"/>
      <c r="F219" s="152"/>
      <c r="G219" s="152"/>
      <c r="H219" s="152"/>
      <c r="I219" s="152"/>
      <c r="J219" s="152"/>
      <c r="K219" s="152"/>
      <c r="L219" s="152"/>
      <c r="M219" s="153"/>
      <c r="N219" s="115"/>
      <c r="P219" s="170"/>
      <c r="Q219" s="170"/>
      <c r="R219" s="170"/>
      <c r="S219" s="170"/>
      <c r="T219" s="170"/>
      <c r="U219" s="170"/>
    </row>
    <row r="220" spans="1:21" s="1" customFormat="1" ht="17.100000000000001" customHeight="1" thickBot="1" x14ac:dyDescent="0.25">
      <c r="A220" s="120">
        <v>17</v>
      </c>
      <c r="B220" s="115"/>
      <c r="C220" s="139" t="str">
        <f>label.section8.TABLES.Line8.Head</f>
        <v>Total revenue</v>
      </c>
      <c r="D220" s="140"/>
      <c r="E220" s="144">
        <f>SUM(E212:E218)</f>
        <v>0</v>
      </c>
      <c r="F220" s="144">
        <f>SUM(F212:F218)</f>
        <v>0</v>
      </c>
      <c r="G220" s="145">
        <f>SUM(G212:G218)</f>
        <v>0</v>
      </c>
      <c r="H220" s="144">
        <f>SUM(H212:H218)</f>
        <v>0</v>
      </c>
      <c r="I220" s="146">
        <f>SUM(I212:I218)</f>
        <v>0</v>
      </c>
      <c r="J220" s="144"/>
      <c r="K220" s="154">
        <f>SUM(K212:K218)</f>
        <v>0</v>
      </c>
      <c r="L220" s="141"/>
      <c r="M220" s="149">
        <f>SUM(G220,K220)</f>
        <v>0</v>
      </c>
      <c r="N220" s="115"/>
      <c r="P220" s="170"/>
      <c r="Q220" s="170"/>
      <c r="R220" s="170"/>
      <c r="S220" s="170"/>
      <c r="T220" s="170"/>
      <c r="U220" s="170"/>
    </row>
    <row r="221" spans="1:21" s="1" customFormat="1" ht="15" customHeight="1" thickTop="1" x14ac:dyDescent="0.2">
      <c r="A221" s="120">
        <v>15</v>
      </c>
      <c r="B221" s="115"/>
      <c r="C221" s="89"/>
      <c r="D221" s="89"/>
      <c r="E221" s="89"/>
      <c r="F221" s="150"/>
      <c r="G221" s="150"/>
      <c r="H221" s="150"/>
      <c r="I221" s="150"/>
      <c r="J221" s="150"/>
      <c r="K221" s="150"/>
      <c r="L221" s="150"/>
      <c r="M221" s="150"/>
      <c r="N221" s="115"/>
      <c r="P221" s="170"/>
      <c r="Q221" s="170"/>
      <c r="R221" s="170"/>
      <c r="S221" s="170"/>
      <c r="T221" s="170"/>
      <c r="U221" s="170"/>
    </row>
    <row r="222" spans="1:21" s="1" customFormat="1" ht="15" customHeight="1" x14ac:dyDescent="0.2">
      <c r="A222" s="120">
        <v>15</v>
      </c>
      <c r="B222" s="115"/>
      <c r="C222" s="268" t="str">
        <f>label.section8_3.LabourLeasing.AIRBUS</f>
        <v>* Please name the companies of Airbus group (incl. Tier1 to Airbus group) to which your company delivers workforce to:</v>
      </c>
      <c r="D222" s="268"/>
      <c r="E222" s="268"/>
      <c r="F222" s="268"/>
      <c r="G222" s="268"/>
      <c r="H222" s="268"/>
      <c r="I222" s="268"/>
      <c r="J222" s="268"/>
      <c r="K222" s="268"/>
      <c r="L222" s="268"/>
      <c r="M222" s="268"/>
      <c r="N222" s="115"/>
      <c r="P222" s="170"/>
      <c r="Q222" s="170"/>
      <c r="R222" s="170"/>
      <c r="S222" s="170"/>
      <c r="T222" s="170"/>
      <c r="U222" s="170"/>
    </row>
    <row r="223" spans="1:21" s="1" customFormat="1" ht="5.0999999999999996" customHeight="1" thickBot="1" x14ac:dyDescent="0.25">
      <c r="A223" s="120">
        <v>5</v>
      </c>
      <c r="B223" s="115"/>
      <c r="C223" s="115"/>
      <c r="D223" s="112"/>
      <c r="E223" s="112"/>
      <c r="F223" s="112"/>
      <c r="G223" s="112"/>
      <c r="H223" s="112"/>
      <c r="I223" s="112"/>
      <c r="J223" s="112"/>
      <c r="K223" s="112"/>
      <c r="L223" s="112"/>
      <c r="M223" s="89"/>
      <c r="N223" s="115"/>
      <c r="P223" s="170"/>
      <c r="Q223" s="170"/>
      <c r="R223" s="170"/>
      <c r="S223" s="170"/>
      <c r="T223" s="170"/>
      <c r="U223" s="170"/>
    </row>
    <row r="224" spans="1:21" s="1" customFormat="1" ht="17.100000000000001" customHeight="1" x14ac:dyDescent="0.2">
      <c r="A224" s="120">
        <v>17</v>
      </c>
      <c r="B224" s="115"/>
      <c r="C224" s="260"/>
      <c r="D224" s="261"/>
      <c r="E224" s="261"/>
      <c r="F224" s="261"/>
      <c r="G224" s="261"/>
      <c r="H224" s="261"/>
      <c r="I224" s="261"/>
      <c r="J224" s="261"/>
      <c r="K224" s="261"/>
      <c r="L224" s="261"/>
      <c r="M224" s="262"/>
      <c r="N224" s="115"/>
      <c r="P224" s="170"/>
      <c r="Q224" s="170"/>
      <c r="R224" s="170"/>
      <c r="S224" s="170"/>
      <c r="T224" s="170"/>
      <c r="U224" s="170"/>
    </row>
    <row r="225" spans="1:21" s="1" customFormat="1" ht="17.100000000000001" customHeight="1" x14ac:dyDescent="0.2">
      <c r="A225" s="120">
        <v>17</v>
      </c>
      <c r="B225" s="115"/>
      <c r="C225" s="253"/>
      <c r="D225" s="254"/>
      <c r="E225" s="254"/>
      <c r="F225" s="254"/>
      <c r="G225" s="254"/>
      <c r="H225" s="254"/>
      <c r="I225" s="254"/>
      <c r="J225" s="254"/>
      <c r="K225" s="254"/>
      <c r="L225" s="254"/>
      <c r="M225" s="255"/>
      <c r="N225" s="115"/>
      <c r="P225" s="170"/>
      <c r="Q225" s="170"/>
      <c r="R225" s="170"/>
      <c r="S225" s="170"/>
      <c r="T225" s="170"/>
      <c r="U225" s="170"/>
    </row>
    <row r="226" spans="1:21" s="1" customFormat="1" ht="17.100000000000001" customHeight="1" x14ac:dyDescent="0.2">
      <c r="A226" s="120">
        <v>17</v>
      </c>
      <c r="B226" s="115"/>
      <c r="C226" s="253"/>
      <c r="D226" s="254"/>
      <c r="E226" s="254"/>
      <c r="F226" s="254"/>
      <c r="G226" s="254"/>
      <c r="H226" s="254"/>
      <c r="I226" s="254"/>
      <c r="J226" s="254"/>
      <c r="K226" s="254"/>
      <c r="L226" s="254"/>
      <c r="M226" s="255"/>
      <c r="N226" s="115"/>
      <c r="P226" s="170"/>
      <c r="Q226" s="170"/>
      <c r="R226" s="170"/>
      <c r="S226" s="170"/>
      <c r="T226" s="170"/>
      <c r="U226" s="170"/>
    </row>
    <row r="227" spans="1:21" s="1" customFormat="1" ht="17.100000000000001" customHeight="1" thickBot="1" x14ac:dyDescent="0.25">
      <c r="A227" s="120">
        <v>17</v>
      </c>
      <c r="B227" s="115"/>
      <c r="C227" s="256"/>
      <c r="D227" s="257"/>
      <c r="E227" s="257"/>
      <c r="F227" s="257"/>
      <c r="G227" s="257"/>
      <c r="H227" s="257"/>
      <c r="I227" s="257"/>
      <c r="J227" s="257"/>
      <c r="K227" s="257"/>
      <c r="L227" s="257"/>
      <c r="M227" s="258"/>
      <c r="N227" s="115"/>
      <c r="P227" s="170"/>
      <c r="Q227" s="170"/>
      <c r="R227" s="170"/>
      <c r="S227" s="170"/>
      <c r="T227" s="170"/>
      <c r="U227" s="170"/>
    </row>
    <row r="228" spans="1:21" s="1" customFormat="1" ht="15" customHeight="1" x14ac:dyDescent="0.2">
      <c r="A228" s="120">
        <v>15</v>
      </c>
      <c r="B228" s="115"/>
      <c r="C228" s="89"/>
      <c r="D228" s="89"/>
      <c r="E228" s="89"/>
      <c r="F228" s="150"/>
      <c r="G228" s="150"/>
      <c r="H228" s="150"/>
      <c r="I228" s="150"/>
      <c r="J228" s="150"/>
      <c r="K228" s="150"/>
      <c r="L228" s="150"/>
      <c r="M228" s="150"/>
      <c r="N228" s="115"/>
      <c r="P228" s="170"/>
      <c r="Q228" s="170"/>
      <c r="R228" s="170"/>
      <c r="S228" s="170"/>
      <c r="T228" s="170"/>
      <c r="U228" s="170"/>
    </row>
    <row r="229" spans="1:21" s="1" customFormat="1" ht="15" customHeight="1" x14ac:dyDescent="0.2">
      <c r="A229" s="120">
        <v>15</v>
      </c>
      <c r="B229" s="115"/>
      <c r="C229" s="268" t="str">
        <f>label.section8_3.LabourLeasing.Supplier</f>
        <v>** Please name the other manufacturers to which your company delivers workforce to:</v>
      </c>
      <c r="D229" s="268"/>
      <c r="E229" s="268"/>
      <c r="F229" s="268"/>
      <c r="G229" s="268"/>
      <c r="H229" s="268"/>
      <c r="I229" s="268"/>
      <c r="J229" s="268"/>
      <c r="K229" s="268"/>
      <c r="L229" s="268"/>
      <c r="M229" s="268"/>
      <c r="N229" s="115"/>
      <c r="P229" s="170"/>
      <c r="Q229" s="170"/>
      <c r="R229" s="170"/>
      <c r="S229" s="170"/>
      <c r="T229" s="170"/>
      <c r="U229" s="170"/>
    </row>
    <row r="230" spans="1:21" s="1" customFormat="1" ht="5.0999999999999996" customHeight="1" thickBot="1" x14ac:dyDescent="0.25">
      <c r="A230" s="120">
        <v>5</v>
      </c>
      <c r="B230" s="115"/>
      <c r="C230" s="115"/>
      <c r="D230" s="112"/>
      <c r="E230" s="112"/>
      <c r="F230" s="112"/>
      <c r="G230" s="112"/>
      <c r="H230" s="112"/>
      <c r="I230" s="112"/>
      <c r="J230" s="112"/>
      <c r="K230" s="112"/>
      <c r="L230" s="112"/>
      <c r="M230" s="89"/>
      <c r="N230" s="115"/>
      <c r="P230" s="170"/>
      <c r="Q230" s="170"/>
      <c r="R230" s="170"/>
      <c r="S230" s="170"/>
      <c r="T230" s="170"/>
      <c r="U230" s="170"/>
    </row>
    <row r="231" spans="1:21" s="1" customFormat="1" ht="17.100000000000001" customHeight="1" x14ac:dyDescent="0.2">
      <c r="A231" s="120">
        <v>17</v>
      </c>
      <c r="B231" s="115"/>
      <c r="C231" s="260"/>
      <c r="D231" s="261"/>
      <c r="E231" s="261"/>
      <c r="F231" s="261"/>
      <c r="G231" s="261"/>
      <c r="H231" s="261"/>
      <c r="I231" s="261"/>
      <c r="J231" s="261"/>
      <c r="K231" s="261"/>
      <c r="L231" s="261"/>
      <c r="M231" s="262"/>
      <c r="N231" s="115"/>
      <c r="P231" s="170"/>
      <c r="Q231" s="170"/>
      <c r="R231" s="170"/>
      <c r="S231" s="170"/>
      <c r="T231" s="170"/>
      <c r="U231" s="170"/>
    </row>
    <row r="232" spans="1:21" s="1" customFormat="1" ht="17.100000000000001" customHeight="1" x14ac:dyDescent="0.2">
      <c r="A232" s="120">
        <v>17</v>
      </c>
      <c r="B232" s="115"/>
      <c r="C232" s="253"/>
      <c r="D232" s="254"/>
      <c r="E232" s="254"/>
      <c r="F232" s="254"/>
      <c r="G232" s="254"/>
      <c r="H232" s="254"/>
      <c r="I232" s="254"/>
      <c r="J232" s="254"/>
      <c r="K232" s="254"/>
      <c r="L232" s="254"/>
      <c r="M232" s="255"/>
      <c r="N232" s="115"/>
      <c r="P232" s="170"/>
      <c r="Q232" s="170"/>
      <c r="R232" s="170"/>
      <c r="S232" s="170"/>
      <c r="T232" s="170"/>
      <c r="U232" s="170"/>
    </row>
    <row r="233" spans="1:21" s="1" customFormat="1" ht="17.100000000000001" customHeight="1" x14ac:dyDescent="0.2">
      <c r="A233" s="120">
        <v>17</v>
      </c>
      <c r="B233" s="115"/>
      <c r="C233" s="253"/>
      <c r="D233" s="254"/>
      <c r="E233" s="254"/>
      <c r="F233" s="254"/>
      <c r="G233" s="254"/>
      <c r="H233" s="254"/>
      <c r="I233" s="254"/>
      <c r="J233" s="254"/>
      <c r="K233" s="254"/>
      <c r="L233" s="254"/>
      <c r="M233" s="255"/>
      <c r="N233" s="115"/>
      <c r="P233" s="170"/>
      <c r="Q233" s="170"/>
      <c r="R233" s="170"/>
      <c r="S233" s="170"/>
      <c r="T233" s="170"/>
      <c r="U233" s="170"/>
    </row>
    <row r="234" spans="1:21" s="1" customFormat="1" ht="17.100000000000001" customHeight="1" thickBot="1" x14ac:dyDescent="0.25">
      <c r="A234" s="120">
        <v>17</v>
      </c>
      <c r="B234" s="115"/>
      <c r="C234" s="256"/>
      <c r="D234" s="257"/>
      <c r="E234" s="257"/>
      <c r="F234" s="257"/>
      <c r="G234" s="257"/>
      <c r="H234" s="257"/>
      <c r="I234" s="257"/>
      <c r="J234" s="257"/>
      <c r="K234" s="257"/>
      <c r="L234" s="257"/>
      <c r="M234" s="258"/>
      <c r="N234" s="115"/>
      <c r="P234" s="170"/>
      <c r="Q234" s="170"/>
      <c r="R234" s="170"/>
      <c r="S234" s="170"/>
      <c r="T234" s="170"/>
      <c r="U234" s="170"/>
    </row>
    <row r="235" spans="1:21" s="1" customFormat="1" ht="15" customHeight="1" x14ac:dyDescent="0.2">
      <c r="A235" s="120">
        <v>15</v>
      </c>
      <c r="B235" s="115"/>
      <c r="C235" s="89"/>
      <c r="D235" s="89"/>
      <c r="E235" s="89"/>
      <c r="F235" s="150"/>
      <c r="G235" s="150"/>
      <c r="H235" s="150"/>
      <c r="I235" s="150"/>
      <c r="J235" s="150"/>
      <c r="K235" s="150"/>
      <c r="L235" s="150"/>
      <c r="M235" s="150"/>
      <c r="N235" s="115"/>
      <c r="P235" s="170"/>
      <c r="Q235" s="170"/>
      <c r="R235" s="170"/>
      <c r="S235" s="170"/>
      <c r="T235" s="170"/>
      <c r="U235" s="170"/>
    </row>
    <row r="236" spans="1:21" s="1" customFormat="1" ht="17.100000000000001" customHeight="1" x14ac:dyDescent="0.2">
      <c r="A236" s="120">
        <v>17</v>
      </c>
      <c r="B236" s="115" t="s">
        <v>57</v>
      </c>
      <c r="C236" s="85" t="str">
        <f>label.section9.LocalInsurances</f>
        <v>9. local policies: Aviation and Space product liability policies outside the EU</v>
      </c>
      <c r="D236" s="85"/>
      <c r="E236" s="91"/>
      <c r="F236" s="91"/>
      <c r="G236" s="91"/>
      <c r="H236" s="91"/>
      <c r="I236" s="91"/>
      <c r="J236" s="91"/>
      <c r="K236" s="91"/>
      <c r="L236" s="91"/>
      <c r="M236" s="91"/>
      <c r="N236" s="115"/>
      <c r="P236" s="170"/>
      <c r="Q236" s="170"/>
      <c r="R236" s="170"/>
      <c r="S236" s="170"/>
      <c r="T236" s="170"/>
      <c r="U236" s="170"/>
    </row>
    <row r="237" spans="1:21" s="1" customFormat="1" ht="5.0999999999999996" customHeight="1" x14ac:dyDescent="0.2">
      <c r="A237" s="120">
        <v>5</v>
      </c>
      <c r="B237" s="115"/>
      <c r="C237" s="115"/>
      <c r="D237" s="112"/>
      <c r="E237" s="112"/>
      <c r="F237" s="112"/>
      <c r="G237" s="112"/>
      <c r="H237" s="112"/>
      <c r="I237" s="112"/>
      <c r="J237" s="112"/>
      <c r="K237" s="112"/>
      <c r="L237" s="112"/>
      <c r="M237" s="89"/>
      <c r="N237" s="115"/>
      <c r="P237" s="170"/>
      <c r="Q237" s="170"/>
      <c r="R237" s="170"/>
      <c r="S237" s="170"/>
      <c r="T237" s="170"/>
      <c r="U237" s="170"/>
    </row>
    <row r="238" spans="1:21" s="1" customFormat="1" ht="15" customHeight="1" x14ac:dyDescent="0.2">
      <c r="A238" s="120">
        <v>15</v>
      </c>
      <c r="B238" s="115"/>
      <c r="C238" s="279" t="str">
        <f>label.section9.LocalInsurances.ExistingGE5M</f>
        <v>Do Local policies exist with a minimum insured limit of USD 5 M</v>
      </c>
      <c r="D238" s="279"/>
      <c r="E238" s="279"/>
      <c r="F238" s="279"/>
      <c r="G238" s="279"/>
      <c r="H238" s="279"/>
      <c r="I238" s="279"/>
      <c r="J238" s="279"/>
      <c r="K238" s="279"/>
      <c r="L238" s="97"/>
      <c r="M238" s="185"/>
      <c r="N238" s="115"/>
      <c r="P238" s="99" t="s">
        <v>334</v>
      </c>
      <c r="Q238" s="170"/>
      <c r="R238" s="170"/>
      <c r="S238" s="170"/>
      <c r="T238" s="170">
        <f>val.Sect9.ExistingLocalPolGT_USD5M.YESNO</f>
        <v>0</v>
      </c>
      <c r="U238" s="170"/>
    </row>
    <row r="239" spans="1:21" s="1" customFormat="1" ht="15" customHeight="1" x14ac:dyDescent="0.2">
      <c r="A239" s="120">
        <v>15</v>
      </c>
      <c r="B239" s="115"/>
      <c r="C239" s="288" t="str">
        <f>IF(OR(val.Sect9.ExistingLocalPolGT_USD5M.YESNO="Ja",val.Sect9.ExistingLocalPolGT_USD5M.YESNO="Yes",val.Sect9.ExistingLocalPolGT_USD5M.YESNO="Oui"),label.section9.LocalInsurances.ExistingConfirmations,"")</f>
        <v/>
      </c>
      <c r="D239" s="288"/>
      <c r="E239" s="288"/>
      <c r="F239" s="288"/>
      <c r="G239" s="288"/>
      <c r="H239" s="288"/>
      <c r="I239" s="288"/>
      <c r="J239" s="288"/>
      <c r="K239" s="288"/>
      <c r="L239" s="150"/>
      <c r="M239" s="150"/>
      <c r="N239" s="115"/>
      <c r="P239" s="170"/>
      <c r="Q239" s="170"/>
      <c r="R239" s="170"/>
      <c r="S239" s="170"/>
      <c r="T239" s="170"/>
      <c r="U239" s="170"/>
    </row>
    <row r="240" spans="1:21" s="1" customFormat="1" ht="15" customHeight="1" x14ac:dyDescent="0.2">
      <c r="A240" s="120">
        <v>15</v>
      </c>
      <c r="B240" s="115"/>
      <c r="C240" s="89"/>
      <c r="D240" s="89"/>
      <c r="E240" s="89"/>
      <c r="F240" s="150"/>
      <c r="G240" s="150"/>
      <c r="H240" s="150"/>
      <c r="I240" s="150"/>
      <c r="J240" s="150"/>
      <c r="K240" s="150"/>
      <c r="L240" s="150"/>
      <c r="M240" s="150"/>
      <c r="N240" s="115"/>
      <c r="P240" s="170"/>
      <c r="Q240" s="170"/>
      <c r="R240" s="170"/>
      <c r="S240" s="170"/>
      <c r="T240" s="170"/>
      <c r="U240" s="170"/>
    </row>
    <row r="241" spans="1:30" s="1" customFormat="1" ht="17.100000000000001" customHeight="1" x14ac:dyDescent="0.2">
      <c r="A241" s="120">
        <v>17</v>
      </c>
      <c r="B241" s="115" t="s">
        <v>57</v>
      </c>
      <c r="C241" s="279" t="str">
        <f>label.section9_1.LocalInsurances_Companies</f>
        <v>Details of companies for which local policies need to be placed.</v>
      </c>
      <c r="D241" s="279"/>
      <c r="E241" s="279"/>
      <c r="F241" s="279"/>
      <c r="G241" s="279"/>
      <c r="H241" s="279"/>
      <c r="I241" s="279"/>
      <c r="J241" s="279"/>
      <c r="K241" s="279"/>
      <c r="L241" s="279"/>
      <c r="M241" s="279"/>
      <c r="N241" s="115"/>
      <c r="P241" s="170"/>
      <c r="Q241" s="170"/>
      <c r="R241" s="170"/>
      <c r="S241" s="170"/>
      <c r="T241" s="170"/>
      <c r="U241" s="170"/>
    </row>
    <row r="242" spans="1:30" ht="45" customHeight="1" x14ac:dyDescent="0.2">
      <c r="A242" s="120">
        <v>45</v>
      </c>
      <c r="B242" s="87"/>
      <c r="C242" s="111" t="str">
        <f>label.Subsidiaries.Companyname</f>
        <v>Company name</v>
      </c>
      <c r="D242" s="89"/>
      <c r="E242" s="112" t="str">
        <f>label.Subsidiaries.AdressInclCountry</f>
        <v>Postal address incl. country</v>
      </c>
      <c r="F242" s="97"/>
      <c r="G242" s="97"/>
      <c r="H242" s="97"/>
      <c r="I242" s="112" t="str">
        <f>label.ContactMail</f>
        <v>E-Mail:</v>
      </c>
      <c r="J242" s="97"/>
      <c r="K242" s="97"/>
      <c r="L242" s="97"/>
      <c r="M242" s="230" t="str">
        <f>label.section9_1.LocalInsurances_Companies_ExtTurnOver</f>
        <v>External turnover in EUR</v>
      </c>
      <c r="N242" s="87"/>
      <c r="O242" s="3"/>
      <c r="P242" s="99"/>
      <c r="Q242" s="99"/>
      <c r="R242" s="99"/>
      <c r="S242" s="99"/>
      <c r="T242" s="99"/>
      <c r="U242" s="99"/>
      <c r="V242" s="3"/>
      <c r="W242" s="3"/>
      <c r="X242" s="3"/>
      <c r="Y242" s="3"/>
      <c r="Z242" s="3"/>
      <c r="AA242" s="3"/>
      <c r="AB242" s="3"/>
      <c r="AC242" s="3"/>
      <c r="AD242" s="3"/>
    </row>
    <row r="243" spans="1:30" ht="5.0999999999999996" customHeight="1" x14ac:dyDescent="0.2">
      <c r="A243" s="120">
        <v>5</v>
      </c>
      <c r="B243" s="87"/>
      <c r="C243" s="89"/>
      <c r="D243" s="89"/>
      <c r="E243" s="97"/>
      <c r="F243" s="97"/>
      <c r="G243" s="97"/>
      <c r="H243" s="97"/>
      <c r="I243" s="97"/>
      <c r="J243" s="97"/>
      <c r="K243" s="97"/>
      <c r="L243" s="97"/>
      <c r="M243" s="89"/>
      <c r="N243" s="87"/>
      <c r="O243" s="3"/>
      <c r="T243" s="99"/>
      <c r="U243" s="99"/>
      <c r="V243" s="3"/>
      <c r="W243" s="3"/>
      <c r="X243" s="3"/>
      <c r="Y243" s="3"/>
      <c r="Z243" s="3"/>
      <c r="AA243" s="3"/>
      <c r="AB243" s="3"/>
      <c r="AC243" s="3"/>
      <c r="AD243" s="3"/>
    </row>
    <row r="244" spans="1:30" s="4" customFormat="1" ht="32.1" customHeight="1" x14ac:dyDescent="0.2">
      <c r="A244" s="120">
        <v>32</v>
      </c>
      <c r="B244" s="92"/>
      <c r="C244" s="226"/>
      <c r="D244" s="110"/>
      <c r="E244" s="289"/>
      <c r="F244" s="289"/>
      <c r="G244" s="289"/>
      <c r="H244" s="290"/>
      <c r="I244" s="291"/>
      <c r="J244" s="291"/>
      <c r="K244" s="291"/>
      <c r="L244" s="97"/>
      <c r="M244" s="240"/>
      <c r="N244" s="92"/>
      <c r="O244" s="99"/>
      <c r="P244" s="99" t="s">
        <v>686</v>
      </c>
      <c r="Q244" s="99" t="s">
        <v>690</v>
      </c>
      <c r="R244" s="99" t="s">
        <v>694</v>
      </c>
      <c r="S244" s="99" t="s">
        <v>698</v>
      </c>
      <c r="T244" s="99"/>
      <c r="U244" s="99"/>
      <c r="V244" s="99"/>
      <c r="W244" s="99"/>
      <c r="X244" s="93"/>
      <c r="Y244" s="93"/>
      <c r="Z244" s="93"/>
      <c r="AA244" s="93"/>
      <c r="AB244" s="93"/>
      <c r="AC244" s="93"/>
      <c r="AD244" s="93"/>
    </row>
    <row r="245" spans="1:30" ht="5.0999999999999996" customHeight="1" x14ac:dyDescent="0.2">
      <c r="A245" s="120">
        <v>5</v>
      </c>
      <c r="B245" s="87"/>
      <c r="C245" s="90"/>
      <c r="D245" s="90"/>
      <c r="E245" s="97"/>
      <c r="F245" s="97"/>
      <c r="G245" s="97"/>
      <c r="H245" s="97"/>
      <c r="I245" s="97"/>
      <c r="J245" s="97"/>
      <c r="K245" s="97"/>
      <c r="L245" s="97"/>
      <c r="M245" s="90"/>
      <c r="N245" s="87"/>
      <c r="O245" s="99"/>
      <c r="P245" s="99"/>
      <c r="Q245" s="99"/>
      <c r="R245" s="99"/>
      <c r="S245" s="99"/>
      <c r="T245" s="99"/>
      <c r="U245" s="99"/>
      <c r="V245" s="99"/>
      <c r="W245" s="99"/>
      <c r="X245" s="3"/>
      <c r="Y245" s="3"/>
      <c r="Z245" s="3"/>
      <c r="AA245" s="3"/>
      <c r="AB245" s="3"/>
      <c r="AC245" s="3"/>
      <c r="AD245" s="3"/>
    </row>
    <row r="246" spans="1:30" ht="32.1" customHeight="1" x14ac:dyDescent="0.2">
      <c r="A246" s="120">
        <v>32</v>
      </c>
      <c r="B246" s="87"/>
      <c r="C246" s="226"/>
      <c r="D246" s="110"/>
      <c r="E246" s="289"/>
      <c r="F246" s="289"/>
      <c r="G246" s="289"/>
      <c r="H246" s="290"/>
      <c r="I246" s="291"/>
      <c r="J246" s="291"/>
      <c r="K246" s="291"/>
      <c r="L246" s="97"/>
      <c r="M246" s="240"/>
      <c r="N246" s="87"/>
      <c r="O246" s="99"/>
      <c r="P246" s="99" t="s">
        <v>687</v>
      </c>
      <c r="Q246" s="99" t="s">
        <v>691</v>
      </c>
      <c r="R246" s="99" t="s">
        <v>695</v>
      </c>
      <c r="S246" s="99" t="s">
        <v>699</v>
      </c>
      <c r="T246" s="99"/>
      <c r="U246" s="99"/>
      <c r="V246" s="99"/>
      <c r="W246" s="99"/>
    </row>
    <row r="247" spans="1:30" ht="5.0999999999999996" customHeight="1" x14ac:dyDescent="0.2">
      <c r="A247" s="120">
        <v>5</v>
      </c>
      <c r="B247" s="87"/>
      <c r="C247" s="90"/>
      <c r="D247" s="90"/>
      <c r="E247" s="97"/>
      <c r="F247" s="97"/>
      <c r="G247" s="97"/>
      <c r="H247" s="97"/>
      <c r="I247" s="97"/>
      <c r="J247" s="97"/>
      <c r="K247" s="97"/>
      <c r="L247" s="97"/>
      <c r="M247" s="90"/>
      <c r="N247" s="87"/>
      <c r="O247" s="99"/>
      <c r="P247" s="99"/>
      <c r="Q247" s="99"/>
      <c r="R247" s="99"/>
      <c r="S247" s="99"/>
      <c r="T247" s="99"/>
      <c r="U247" s="99"/>
      <c r="V247" s="99"/>
      <c r="W247" s="99"/>
    </row>
    <row r="248" spans="1:30" ht="32.1" customHeight="1" x14ac:dyDescent="0.2">
      <c r="A248" s="120">
        <v>32</v>
      </c>
      <c r="B248" s="87"/>
      <c r="C248" s="226"/>
      <c r="D248" s="110"/>
      <c r="E248" s="289"/>
      <c r="F248" s="289"/>
      <c r="G248" s="289"/>
      <c r="H248" s="290"/>
      <c r="I248" s="291"/>
      <c r="J248" s="291"/>
      <c r="K248" s="291"/>
      <c r="L248" s="97"/>
      <c r="M248" s="240"/>
      <c r="N248" s="87"/>
      <c r="O248" s="99"/>
      <c r="P248" s="99" t="s">
        <v>688</v>
      </c>
      <c r="Q248" s="99" t="s">
        <v>692</v>
      </c>
      <c r="R248" s="99" t="s">
        <v>696</v>
      </c>
      <c r="S248" s="99" t="s">
        <v>700</v>
      </c>
      <c r="T248" s="99"/>
      <c r="U248" s="99"/>
      <c r="V248" s="99"/>
      <c r="W248" s="99"/>
    </row>
    <row r="249" spans="1:30" ht="5.0999999999999996" customHeight="1" x14ac:dyDescent="0.2">
      <c r="A249" s="120">
        <v>5</v>
      </c>
      <c r="B249" s="87"/>
      <c r="C249" s="90"/>
      <c r="D249" s="90"/>
      <c r="E249" s="97"/>
      <c r="F249" s="97"/>
      <c r="G249" s="97"/>
      <c r="H249" s="97"/>
      <c r="I249" s="97"/>
      <c r="J249" s="97"/>
      <c r="K249" s="97"/>
      <c r="L249" s="97"/>
      <c r="M249" s="90"/>
      <c r="N249" s="87"/>
      <c r="O249" s="99"/>
      <c r="P249" s="99"/>
      <c r="Q249" s="99"/>
      <c r="R249" s="99"/>
      <c r="S249" s="99"/>
      <c r="T249" s="99"/>
      <c r="U249" s="99"/>
      <c r="V249" s="99"/>
      <c r="W249" s="99"/>
    </row>
    <row r="250" spans="1:30" ht="32.1" customHeight="1" x14ac:dyDescent="0.2">
      <c r="A250" s="120">
        <v>32</v>
      </c>
      <c r="B250" s="87"/>
      <c r="C250" s="226"/>
      <c r="D250" s="110"/>
      <c r="E250" s="289"/>
      <c r="F250" s="289"/>
      <c r="G250" s="289"/>
      <c r="H250" s="290"/>
      <c r="I250" s="291"/>
      <c r="J250" s="291"/>
      <c r="K250" s="291"/>
      <c r="L250" s="97"/>
      <c r="M250" s="240"/>
      <c r="N250" s="87"/>
      <c r="O250" s="99"/>
      <c r="P250" s="99" t="s">
        <v>689</v>
      </c>
      <c r="Q250" s="99" t="s">
        <v>693</v>
      </c>
      <c r="R250" s="99" t="s">
        <v>697</v>
      </c>
      <c r="S250" s="99" t="s">
        <v>701</v>
      </c>
      <c r="T250" s="99"/>
      <c r="U250" s="99"/>
      <c r="V250" s="99"/>
      <c r="W250" s="99"/>
    </row>
    <row r="251" spans="1:30" ht="5.0999999999999996" customHeight="1" x14ac:dyDescent="0.2">
      <c r="A251" s="120">
        <v>5</v>
      </c>
      <c r="B251" s="87"/>
      <c r="C251" s="90"/>
      <c r="D251" s="90"/>
      <c r="E251" s="97"/>
      <c r="F251" s="97"/>
      <c r="G251" s="97"/>
      <c r="H251" s="97"/>
      <c r="I251" s="97"/>
      <c r="J251" s="97"/>
      <c r="K251" s="97"/>
      <c r="L251" s="97"/>
      <c r="M251" s="90"/>
      <c r="N251" s="87"/>
      <c r="O251" s="99"/>
      <c r="P251" s="99"/>
      <c r="Q251" s="99"/>
      <c r="R251" s="99"/>
      <c r="S251" s="99"/>
      <c r="T251" s="99"/>
      <c r="U251" s="99"/>
      <c r="V251" s="99"/>
      <c r="W251" s="99"/>
    </row>
    <row r="252" spans="1:30" ht="32.1" customHeight="1" x14ac:dyDescent="0.2">
      <c r="A252" s="120">
        <v>32</v>
      </c>
      <c r="B252" s="87"/>
      <c r="C252" s="226"/>
      <c r="D252" s="110"/>
      <c r="E252" s="289"/>
      <c r="F252" s="289"/>
      <c r="G252" s="289"/>
      <c r="H252" s="290"/>
      <c r="I252" s="291"/>
      <c r="J252" s="291"/>
      <c r="K252" s="291"/>
      <c r="L252" s="97"/>
      <c r="M252" s="240"/>
      <c r="N252" s="87"/>
      <c r="O252" s="99"/>
      <c r="P252" s="99" t="s">
        <v>703</v>
      </c>
      <c r="Q252" s="99" t="s">
        <v>704</v>
      </c>
      <c r="R252" s="99" t="s">
        <v>705</v>
      </c>
      <c r="S252" s="99" t="s">
        <v>706</v>
      </c>
      <c r="T252" s="99"/>
      <c r="U252" s="99"/>
      <c r="V252" s="99"/>
      <c r="W252" s="99"/>
    </row>
    <row r="253" spans="1:30" ht="5.0999999999999996" customHeight="1" x14ac:dyDescent="0.2">
      <c r="A253" s="120">
        <v>5</v>
      </c>
      <c r="B253" s="87"/>
      <c r="C253" s="90"/>
      <c r="D253" s="90"/>
      <c r="E253" s="97"/>
      <c r="F253" s="97"/>
      <c r="G253" s="97"/>
      <c r="H253" s="97"/>
      <c r="I253" s="97"/>
      <c r="J253" s="97"/>
      <c r="K253" s="97"/>
      <c r="L253" s="97"/>
      <c r="M253" s="90"/>
      <c r="N253" s="87"/>
      <c r="O253" s="99"/>
      <c r="P253" s="99"/>
      <c r="Q253" s="99"/>
      <c r="R253" s="99"/>
      <c r="S253" s="99"/>
      <c r="T253" s="99"/>
      <c r="U253" s="99"/>
      <c r="V253" s="99"/>
      <c r="W253" s="99"/>
    </row>
    <row r="254" spans="1:30" ht="32.1" customHeight="1" x14ac:dyDescent="0.2">
      <c r="A254" s="120">
        <v>32</v>
      </c>
      <c r="B254" s="87"/>
      <c r="C254" s="226"/>
      <c r="D254" s="110"/>
      <c r="E254" s="289"/>
      <c r="F254" s="289"/>
      <c r="G254" s="289"/>
      <c r="H254" s="290"/>
      <c r="I254" s="291"/>
      <c r="J254" s="291"/>
      <c r="K254" s="291"/>
      <c r="L254" s="97"/>
      <c r="M254" s="240"/>
      <c r="N254" s="87"/>
      <c r="O254" s="99"/>
      <c r="P254" s="99" t="s">
        <v>707</v>
      </c>
      <c r="Q254" s="99" t="s">
        <v>708</v>
      </c>
      <c r="R254" s="99" t="s">
        <v>709</v>
      </c>
      <c r="S254" s="99" t="s">
        <v>710</v>
      </c>
      <c r="T254" s="99"/>
      <c r="U254" s="99"/>
      <c r="V254" s="99"/>
      <c r="W254" s="99"/>
    </row>
    <row r="255" spans="1:30" s="1" customFormat="1" ht="15" customHeight="1" x14ac:dyDescent="0.2">
      <c r="A255" s="120">
        <v>15</v>
      </c>
      <c r="B255" s="115"/>
      <c r="C255" s="89"/>
      <c r="D255" s="89"/>
      <c r="E255" s="89"/>
      <c r="F255" s="150"/>
      <c r="G255" s="150"/>
      <c r="H255" s="150"/>
      <c r="I255" s="150"/>
      <c r="J255" s="150"/>
      <c r="K255" s="150"/>
      <c r="L255" s="150"/>
      <c r="M255" s="150"/>
      <c r="N255" s="115"/>
      <c r="P255" s="170"/>
      <c r="Q255" s="170"/>
      <c r="R255" s="170"/>
      <c r="S255" s="170"/>
      <c r="T255" s="170"/>
      <c r="U255" s="170"/>
    </row>
    <row r="256" spans="1:30" s="1" customFormat="1" ht="17.100000000000001" customHeight="1" x14ac:dyDescent="0.2">
      <c r="A256" s="120">
        <v>17</v>
      </c>
      <c r="B256" s="115" t="s">
        <v>57</v>
      </c>
      <c r="C256" s="85" t="str">
        <f>label.section10.Claims</f>
        <v>10. Occurred claims in the last 5 years (for new contracts only)</v>
      </c>
      <c r="D256" s="85"/>
      <c r="E256" s="91"/>
      <c r="F256" s="91"/>
      <c r="G256" s="91"/>
      <c r="H256" s="91"/>
      <c r="I256" s="91"/>
      <c r="J256" s="91"/>
      <c r="K256" s="91"/>
      <c r="L256" s="91"/>
      <c r="M256" s="91"/>
      <c r="N256" s="115"/>
      <c r="P256" s="170"/>
      <c r="Q256" s="170"/>
      <c r="R256" s="170"/>
      <c r="S256" s="170"/>
      <c r="T256" s="170"/>
      <c r="U256" s="170"/>
    </row>
    <row r="257" spans="1:30" s="1" customFormat="1" ht="5.0999999999999996" customHeight="1" x14ac:dyDescent="0.2">
      <c r="A257" s="120">
        <v>5</v>
      </c>
      <c r="B257" s="115"/>
      <c r="C257" s="115"/>
      <c r="D257" s="112"/>
      <c r="E257" s="112"/>
      <c r="F257" s="112"/>
      <c r="G257" s="112"/>
      <c r="H257" s="112"/>
      <c r="I257" s="112"/>
      <c r="J257" s="112"/>
      <c r="K257" s="112"/>
      <c r="L257" s="112"/>
      <c r="M257" s="89"/>
      <c r="N257" s="115"/>
      <c r="P257" s="170"/>
      <c r="Q257" s="170"/>
      <c r="R257" s="170"/>
      <c r="S257" s="170"/>
      <c r="T257" s="170"/>
      <c r="U257" s="170"/>
    </row>
    <row r="258" spans="1:30" s="1" customFormat="1" ht="15" customHeight="1" x14ac:dyDescent="0.2">
      <c r="A258" s="120">
        <v>15</v>
      </c>
      <c r="B258" s="115"/>
      <c r="C258" s="89"/>
      <c r="D258" s="89"/>
      <c r="E258" s="89"/>
      <c r="F258" s="150"/>
      <c r="G258" s="150"/>
      <c r="H258" s="150"/>
      <c r="I258" s="150"/>
      <c r="J258" s="150"/>
      <c r="K258" s="150"/>
      <c r="L258" s="150"/>
      <c r="M258" s="150"/>
      <c r="N258" s="115"/>
      <c r="P258" s="170"/>
      <c r="Q258" s="170"/>
      <c r="R258" s="170"/>
      <c r="S258" s="170"/>
      <c r="T258" s="170"/>
      <c r="U258" s="170"/>
    </row>
    <row r="259" spans="1:30" s="1" customFormat="1" ht="15" customHeight="1" x14ac:dyDescent="0.2">
      <c r="A259" s="120">
        <v>15</v>
      </c>
      <c r="B259" s="115"/>
      <c r="C259" s="89" t="str">
        <f>label.section10.NO_ClaimsConfirmation</f>
        <v>Please confirm if claims occurred in the last 5 years.</v>
      </c>
      <c r="D259" s="89"/>
      <c r="E259" s="89"/>
      <c r="F259" s="150"/>
      <c r="G259" s="150"/>
      <c r="H259" s="150"/>
      <c r="I259" s="150"/>
      <c r="J259" s="150"/>
      <c r="K259" s="116" t="str">
        <f>IF(M259="","!!! &gt;&gt;","")</f>
        <v>!!! &gt;&gt;</v>
      </c>
      <c r="L259" s="97"/>
      <c r="M259" s="185"/>
      <c r="N259" s="115"/>
      <c r="P259" s="99" t="s">
        <v>335</v>
      </c>
      <c r="Q259" s="170"/>
      <c r="R259" s="170"/>
      <c r="S259" s="170"/>
      <c r="T259" s="99">
        <f>val.Sect10.confirmedClaims.YESNO</f>
        <v>0</v>
      </c>
      <c r="U259" s="170"/>
    </row>
    <row r="260" spans="1:30" s="1" customFormat="1" ht="5.0999999999999996" customHeight="1" x14ac:dyDescent="0.2">
      <c r="A260" s="120">
        <v>5</v>
      </c>
      <c r="B260" s="115"/>
      <c r="C260" s="115"/>
      <c r="D260" s="112"/>
      <c r="E260" s="112"/>
      <c r="F260" s="112"/>
      <c r="G260" s="112"/>
      <c r="H260" s="112"/>
      <c r="I260" s="112"/>
      <c r="J260" s="112"/>
      <c r="K260" s="112"/>
      <c r="L260" s="112"/>
      <c r="M260" s="89"/>
      <c r="N260" s="115"/>
      <c r="P260" s="170"/>
      <c r="Q260" s="170"/>
      <c r="R260" s="170"/>
      <c r="S260" s="170"/>
      <c r="T260" s="170"/>
      <c r="U260" s="170"/>
    </row>
    <row r="261" spans="1:30" s="1" customFormat="1" ht="15" customHeight="1" x14ac:dyDescent="0.2">
      <c r="A261" s="120">
        <v>15</v>
      </c>
      <c r="B261" s="115"/>
      <c r="C261" s="89"/>
      <c r="D261" s="89"/>
      <c r="E261" s="89"/>
      <c r="F261" s="150"/>
      <c r="G261" s="150"/>
      <c r="H261" s="150"/>
      <c r="I261" s="150"/>
      <c r="J261" s="150"/>
      <c r="K261" s="167" t="s">
        <v>240</v>
      </c>
      <c r="L261" s="167"/>
      <c r="M261" s="167" t="s">
        <v>240</v>
      </c>
      <c r="N261" s="115"/>
      <c r="P261" s="170"/>
      <c r="Q261" s="170"/>
      <c r="R261" s="170"/>
      <c r="S261" s="170"/>
      <c r="T261" s="170"/>
      <c r="U261" s="170"/>
    </row>
    <row r="262" spans="1:30" s="2" customFormat="1" ht="30" customHeight="1" x14ac:dyDescent="0.2">
      <c r="A262" s="120">
        <v>30</v>
      </c>
      <c r="B262" s="92"/>
      <c r="C262" s="259" t="str">
        <f>label.section10.ClaimsExplanation</f>
        <v>Claims description (in brief words)</v>
      </c>
      <c r="D262" s="259"/>
      <c r="E262" s="259"/>
      <c r="F262" s="259"/>
      <c r="G262" s="259"/>
      <c r="H262" s="259"/>
      <c r="I262" s="231" t="str">
        <f>label.section10.ClaimsDate</f>
        <v>Date of loss</v>
      </c>
      <c r="J262" s="159"/>
      <c r="K262" s="231" t="str">
        <f>label.section10.ClaimsAmount</f>
        <v>Amount of claim</v>
      </c>
      <c r="L262" s="160"/>
      <c r="M262" s="231" t="str">
        <f>label.section10.ClaimsReserves</f>
        <v>thereof reserves</v>
      </c>
      <c r="N262" s="92"/>
      <c r="P262" s="172"/>
      <c r="Q262" s="172"/>
      <c r="R262" s="172"/>
      <c r="S262" s="172"/>
      <c r="T262" s="172"/>
      <c r="U262" s="172"/>
    </row>
    <row r="263" spans="1:30" s="1" customFormat="1" ht="5.0999999999999996" customHeight="1" x14ac:dyDescent="0.2">
      <c r="A263" s="120">
        <v>5</v>
      </c>
      <c r="B263" s="115"/>
      <c r="C263" s="161"/>
      <c r="D263" s="97"/>
      <c r="E263" s="97"/>
      <c r="F263" s="97"/>
      <c r="G263" s="97"/>
      <c r="H263" s="97"/>
      <c r="I263" s="97"/>
      <c r="J263" s="97"/>
      <c r="K263" s="97"/>
      <c r="L263" s="97"/>
      <c r="M263" s="97"/>
      <c r="N263" s="115"/>
      <c r="P263" s="170"/>
      <c r="Q263" s="170"/>
      <c r="R263" s="170"/>
      <c r="S263" s="170"/>
      <c r="T263" s="170"/>
      <c r="U263" s="170"/>
    </row>
    <row r="264" spans="1:30" s="1" customFormat="1" ht="32.1" customHeight="1" x14ac:dyDescent="0.2">
      <c r="A264" s="120">
        <v>32</v>
      </c>
      <c r="B264" s="115"/>
      <c r="C264" s="249"/>
      <c r="D264" s="249"/>
      <c r="E264" s="249"/>
      <c r="F264" s="249"/>
      <c r="G264" s="249"/>
      <c r="H264" s="252"/>
      <c r="I264" s="229"/>
      <c r="J264" s="227"/>
      <c r="K264" s="240"/>
      <c r="L264" s="228"/>
      <c r="M264" s="240"/>
      <c r="N264" s="115"/>
      <c r="P264" s="170"/>
      <c r="Q264" s="170"/>
      <c r="R264" s="170"/>
      <c r="S264" s="170"/>
      <c r="T264" s="170"/>
      <c r="U264" s="170"/>
    </row>
    <row r="265" spans="1:30" ht="5.0999999999999996" customHeight="1" x14ac:dyDescent="0.2">
      <c r="A265" s="120">
        <v>5</v>
      </c>
      <c r="B265" s="87"/>
      <c r="C265" s="90"/>
      <c r="D265" s="90"/>
      <c r="E265" s="97"/>
      <c r="F265" s="97"/>
      <c r="G265" s="97"/>
      <c r="H265" s="97"/>
      <c r="I265" s="97"/>
      <c r="J265" s="97"/>
      <c r="K265" s="97"/>
      <c r="L265" s="97"/>
      <c r="M265" s="90"/>
      <c r="N265" s="87"/>
      <c r="O265" s="99"/>
      <c r="P265" s="99"/>
      <c r="Q265" s="99"/>
      <c r="R265" s="99"/>
      <c r="S265" s="99"/>
      <c r="T265" s="99"/>
      <c r="U265" s="99"/>
      <c r="V265" s="99"/>
      <c r="W265" s="99"/>
      <c r="X265" s="3"/>
      <c r="Y265" s="3"/>
      <c r="Z265" s="3"/>
      <c r="AA265" s="3"/>
      <c r="AB265" s="3"/>
      <c r="AC265" s="3"/>
      <c r="AD265" s="3"/>
    </row>
    <row r="266" spans="1:30" s="1" customFormat="1" ht="32.1" customHeight="1" x14ac:dyDescent="0.2">
      <c r="A266" s="120">
        <v>32</v>
      </c>
      <c r="B266" s="115"/>
      <c r="C266" s="249"/>
      <c r="D266" s="249"/>
      <c r="E266" s="249"/>
      <c r="F266" s="249"/>
      <c r="G266" s="249"/>
      <c r="H266" s="252"/>
      <c r="I266" s="229"/>
      <c r="J266" s="227"/>
      <c r="K266" s="240"/>
      <c r="L266" s="228"/>
      <c r="M266" s="240"/>
      <c r="N266" s="115"/>
      <c r="P266" s="173"/>
      <c r="Q266" s="170"/>
      <c r="R266" s="170"/>
      <c r="S266" s="170"/>
      <c r="T266" s="170"/>
      <c r="U266" s="170"/>
    </row>
    <row r="267" spans="1:30" s="1" customFormat="1" ht="5.0999999999999996" customHeight="1" x14ac:dyDescent="0.2">
      <c r="A267" s="120">
        <v>5</v>
      </c>
      <c r="B267" s="115"/>
      <c r="C267" s="90"/>
      <c r="D267" s="90"/>
      <c r="E267" s="97"/>
      <c r="F267" s="97"/>
      <c r="G267" s="97"/>
      <c r="H267" s="97"/>
      <c r="I267" s="97"/>
      <c r="J267" s="97"/>
      <c r="K267" s="97"/>
      <c r="L267" s="97"/>
      <c r="M267" s="90"/>
      <c r="N267" s="115"/>
      <c r="P267" s="170"/>
      <c r="Q267" s="170"/>
      <c r="R267" s="170"/>
      <c r="S267" s="170"/>
      <c r="T267" s="170"/>
      <c r="U267" s="170"/>
    </row>
    <row r="268" spans="1:30" s="1" customFormat="1" ht="32.1" customHeight="1" x14ac:dyDescent="0.2">
      <c r="A268" s="120">
        <v>32</v>
      </c>
      <c r="B268" s="115"/>
      <c r="C268" s="249"/>
      <c r="D268" s="249"/>
      <c r="E268" s="249"/>
      <c r="F268" s="249"/>
      <c r="G268" s="249"/>
      <c r="H268" s="252"/>
      <c r="I268" s="229"/>
      <c r="J268" s="227"/>
      <c r="K268" s="240"/>
      <c r="L268" s="228"/>
      <c r="M268" s="240"/>
      <c r="N268" s="115"/>
      <c r="P268" s="170"/>
      <c r="Q268" s="170"/>
      <c r="R268" s="170"/>
      <c r="S268" s="170"/>
      <c r="T268" s="170"/>
      <c r="U268" s="170"/>
    </row>
    <row r="269" spans="1:30" ht="5.0999999999999996" customHeight="1" x14ac:dyDescent="0.2">
      <c r="A269" s="120">
        <v>5</v>
      </c>
      <c r="B269" s="87"/>
      <c r="C269" s="90"/>
      <c r="D269" s="90"/>
      <c r="E269" s="97"/>
      <c r="F269" s="97"/>
      <c r="G269" s="97"/>
      <c r="H269" s="97"/>
      <c r="I269" s="97"/>
      <c r="J269" s="97"/>
      <c r="K269" s="97"/>
      <c r="L269" s="97"/>
      <c r="M269" s="90"/>
      <c r="N269" s="87"/>
      <c r="O269" s="99"/>
      <c r="P269" s="99"/>
      <c r="Q269" s="99"/>
      <c r="R269" s="99"/>
      <c r="S269" s="99"/>
      <c r="T269" s="99"/>
      <c r="U269" s="99"/>
      <c r="V269" s="99"/>
      <c r="W269" s="99"/>
      <c r="X269" s="3"/>
      <c r="Y269" s="3"/>
      <c r="Z269" s="3"/>
      <c r="AA269" s="3"/>
      <c r="AB269" s="3"/>
      <c r="AC269" s="3"/>
      <c r="AD269" s="3"/>
    </row>
    <row r="270" spans="1:30" s="1" customFormat="1" ht="32.1" customHeight="1" x14ac:dyDescent="0.2">
      <c r="A270" s="120">
        <v>32</v>
      </c>
      <c r="B270" s="115"/>
      <c r="C270" s="249"/>
      <c r="D270" s="249"/>
      <c r="E270" s="249"/>
      <c r="F270" s="249"/>
      <c r="G270" s="249"/>
      <c r="H270" s="252"/>
      <c r="I270" s="229"/>
      <c r="J270" s="227"/>
      <c r="K270" s="240"/>
      <c r="L270" s="228"/>
      <c r="M270" s="240"/>
      <c r="N270" s="115"/>
      <c r="P270" s="170"/>
      <c r="Q270" s="170"/>
      <c r="R270" s="170"/>
      <c r="S270" s="170"/>
      <c r="T270" s="170"/>
      <c r="U270" s="170"/>
    </row>
    <row r="271" spans="1:30" s="1" customFormat="1" ht="15" customHeight="1" x14ac:dyDescent="0.2">
      <c r="A271" s="120">
        <v>15</v>
      </c>
      <c r="B271" s="115"/>
      <c r="C271" s="89"/>
      <c r="D271" s="89"/>
      <c r="E271" s="89"/>
      <c r="F271" s="150"/>
      <c r="G271" s="150"/>
      <c r="H271" s="150"/>
      <c r="I271" s="150"/>
      <c r="J271" s="150"/>
      <c r="K271" s="150"/>
      <c r="L271" s="150"/>
      <c r="M271" s="150"/>
      <c r="N271" s="115"/>
      <c r="P271" s="170"/>
      <c r="Q271" s="170"/>
      <c r="R271" s="170"/>
      <c r="S271" s="170"/>
      <c r="T271" s="170"/>
      <c r="U271" s="170"/>
    </row>
    <row r="272" spans="1:30" s="1" customFormat="1" ht="15" customHeight="1" x14ac:dyDescent="0.2">
      <c r="A272" s="120">
        <v>15</v>
      </c>
      <c r="B272" s="115"/>
      <c r="C272" s="89"/>
      <c r="D272" s="89"/>
      <c r="E272" s="89"/>
      <c r="F272" s="150"/>
      <c r="G272" s="150"/>
      <c r="H272" s="150"/>
      <c r="I272" s="150"/>
      <c r="J272" s="150"/>
      <c r="K272" s="150"/>
      <c r="L272" s="150"/>
      <c r="M272" s="150"/>
      <c r="N272" s="115"/>
      <c r="P272" s="170"/>
      <c r="Q272" s="170"/>
      <c r="R272" s="170"/>
      <c r="S272" s="170"/>
      <c r="T272" s="170"/>
      <c r="U272" s="170"/>
    </row>
    <row r="273" spans="1:30" s="1" customFormat="1" ht="17.100000000000001" customHeight="1" x14ac:dyDescent="0.2">
      <c r="A273" s="120">
        <v>17</v>
      </c>
      <c r="B273" s="115"/>
      <c r="C273" s="111"/>
      <c r="D273" s="89"/>
      <c r="E273" s="89"/>
      <c r="F273" s="150"/>
      <c r="G273" s="168" t="str">
        <f>label.HintThankYou</f>
        <v>Thank you very much for completion of this questionnaire! Please send it back as EXCEL file!</v>
      </c>
      <c r="H273" s="150"/>
      <c r="I273" s="150"/>
      <c r="J273" s="150"/>
      <c r="K273" s="150"/>
      <c r="L273" s="150"/>
      <c r="M273" s="150"/>
      <c r="N273" s="115"/>
      <c r="P273" s="170"/>
      <c r="Q273" s="170"/>
      <c r="R273" s="170"/>
      <c r="S273" s="170"/>
      <c r="T273" s="170"/>
      <c r="U273" s="170"/>
    </row>
    <row r="274" spans="1:30" s="1" customFormat="1" ht="15" customHeight="1" x14ac:dyDescent="0.2">
      <c r="A274" s="120">
        <v>15</v>
      </c>
      <c r="B274" s="115"/>
      <c r="C274" s="89"/>
      <c r="D274" s="89"/>
      <c r="E274" s="89"/>
      <c r="F274" s="150"/>
      <c r="G274" s="150"/>
      <c r="H274" s="150"/>
      <c r="I274" s="150"/>
      <c r="J274" s="150"/>
      <c r="K274" s="150"/>
      <c r="L274" s="150"/>
      <c r="M274" s="150"/>
      <c r="N274" s="115"/>
      <c r="P274" s="170"/>
      <c r="Q274" s="170"/>
      <c r="R274" s="170"/>
      <c r="S274" s="170"/>
      <c r="T274" s="170"/>
      <c r="U274" s="170"/>
    </row>
    <row r="275" spans="1:30" ht="17.100000000000001" customHeight="1" x14ac:dyDescent="0.2">
      <c r="A275" s="120">
        <v>17</v>
      </c>
      <c r="B275" s="87"/>
      <c r="C275" s="250" t="str">
        <f>label.HintRegNoFurtherInterest</f>
        <v>We kindly ask you to send us back the filled-out questionnaire to airbus.scheme@willistowerswatson.com, even if you choose not to prolongate the contract. Thank you!</v>
      </c>
      <c r="D275" s="250"/>
      <c r="E275" s="250"/>
      <c r="F275" s="250"/>
      <c r="G275" s="250"/>
      <c r="H275" s="250"/>
      <c r="I275" s="250"/>
      <c r="J275" s="250"/>
      <c r="K275" s="250"/>
      <c r="L275" s="250"/>
      <c r="M275" s="250"/>
      <c r="N275" s="87"/>
      <c r="O275" s="3"/>
      <c r="P275" s="99"/>
      <c r="Q275" s="99"/>
      <c r="R275" s="99"/>
      <c r="S275" s="99"/>
      <c r="T275" s="99"/>
      <c r="U275" s="99"/>
      <c r="V275" s="3"/>
      <c r="W275" s="3"/>
      <c r="X275" s="3"/>
      <c r="Y275" s="3"/>
      <c r="Z275" s="3"/>
      <c r="AA275" s="3"/>
      <c r="AB275" s="3"/>
      <c r="AC275" s="3"/>
      <c r="AD275" s="3"/>
    </row>
    <row r="276" spans="1:30" ht="17.100000000000001" customHeight="1" x14ac:dyDescent="0.2">
      <c r="A276" s="120">
        <v>17</v>
      </c>
      <c r="B276" s="87"/>
      <c r="C276" s="250"/>
      <c r="D276" s="250"/>
      <c r="E276" s="250"/>
      <c r="F276" s="250"/>
      <c r="G276" s="250"/>
      <c r="H276" s="250"/>
      <c r="I276" s="250"/>
      <c r="J276" s="250"/>
      <c r="K276" s="250"/>
      <c r="L276" s="250"/>
      <c r="M276" s="250"/>
      <c r="N276" s="87"/>
      <c r="O276" s="3"/>
      <c r="P276" s="99"/>
      <c r="Q276" s="99"/>
      <c r="R276" s="99"/>
      <c r="S276" s="99"/>
      <c r="T276" s="99"/>
      <c r="U276" s="99"/>
      <c r="V276" s="3"/>
      <c r="W276" s="3"/>
      <c r="X276" s="3"/>
      <c r="Y276" s="3"/>
      <c r="Z276" s="3"/>
      <c r="AA276" s="3"/>
      <c r="AB276" s="3"/>
      <c r="AC276" s="3"/>
      <c r="AD276" s="3"/>
    </row>
    <row r="277" spans="1:30" s="1" customFormat="1" ht="15" customHeight="1" x14ac:dyDescent="0.2">
      <c r="A277" s="120">
        <v>15</v>
      </c>
      <c r="B277" s="115"/>
      <c r="C277" s="89"/>
      <c r="D277" s="89"/>
      <c r="E277" s="89"/>
      <c r="F277" s="150"/>
      <c r="G277" s="150"/>
      <c r="H277" s="150"/>
      <c r="I277" s="150"/>
      <c r="J277" s="150"/>
      <c r="K277" s="150"/>
      <c r="L277" s="150"/>
      <c r="M277" s="150"/>
      <c r="N277" s="115"/>
      <c r="P277" s="170"/>
      <c r="Q277" s="170"/>
      <c r="R277" s="170"/>
      <c r="S277" s="170"/>
      <c r="T277" s="170"/>
      <c r="U277" s="170"/>
    </row>
    <row r="278" spans="1:30" hidden="1" x14ac:dyDescent="0.2">
      <c r="P278" s="99"/>
      <c r="Q278" s="99"/>
      <c r="R278" s="99"/>
      <c r="S278" s="99"/>
      <c r="T278" s="99"/>
      <c r="U278" s="99"/>
    </row>
    <row r="279" spans="1:30" hidden="1" x14ac:dyDescent="0.2"/>
    <row r="280" spans="1:30" hidden="1" x14ac:dyDescent="0.2"/>
    <row r="281" spans="1:30" hidden="1" x14ac:dyDescent="0.2"/>
    <row r="282" spans="1:30" hidden="1" x14ac:dyDescent="0.2"/>
    <row r="283" spans="1:30" hidden="1" x14ac:dyDescent="0.2"/>
    <row r="284" spans="1:30" hidden="1" x14ac:dyDescent="0.2"/>
    <row r="285" spans="1:30" hidden="1" x14ac:dyDescent="0.2"/>
    <row r="286" spans="1:30" hidden="1" x14ac:dyDescent="0.2"/>
    <row r="287" spans="1:30" hidden="1" x14ac:dyDescent="0.2"/>
    <row r="288" spans="1:30"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sheetData>
  <sheetProtection algorithmName="SHA-512" hashValue="dvoE0vUQewAfDsoF8J6YNSrTqH54Ra8mmevUvOCx9LidZHIjIz1pNBOVw13Io11b5tPQLbtndKZL4E6bNCe0Yw==" saltValue="posK3FHWJIoAZ9B8OLSWPQ==" spinCount="100000" sheet="1" objects="1" scenarios="1"/>
  <mergeCells count="120">
    <mergeCell ref="C238:K238"/>
    <mergeCell ref="C239:K239"/>
    <mergeCell ref="C241:M241"/>
    <mergeCell ref="C194:M194"/>
    <mergeCell ref="K65:M65"/>
    <mergeCell ref="E252:H252"/>
    <mergeCell ref="I252:K252"/>
    <mergeCell ref="E254:H254"/>
    <mergeCell ref="I254:K254"/>
    <mergeCell ref="C132:H132"/>
    <mergeCell ref="I244:K244"/>
    <mergeCell ref="I246:K246"/>
    <mergeCell ref="I248:K248"/>
    <mergeCell ref="I250:K250"/>
    <mergeCell ref="E244:H244"/>
    <mergeCell ref="E246:H246"/>
    <mergeCell ref="E248:H248"/>
    <mergeCell ref="E250:H250"/>
    <mergeCell ref="C171:M171"/>
    <mergeCell ref="C229:M229"/>
    <mergeCell ref="C231:M231"/>
    <mergeCell ref="C222:M222"/>
    <mergeCell ref="E209:G209"/>
    <mergeCell ref="H209:K209"/>
    <mergeCell ref="C225:M225"/>
    <mergeCell ref="C172:M172"/>
    <mergeCell ref="C191:M191"/>
    <mergeCell ref="C193:M193"/>
    <mergeCell ref="K67:M67"/>
    <mergeCell ref="K69:M69"/>
    <mergeCell ref="E67:I67"/>
    <mergeCell ref="E69:I69"/>
    <mergeCell ref="E71:I71"/>
    <mergeCell ref="C170:M170"/>
    <mergeCell ref="C162:M162"/>
    <mergeCell ref="C169:M169"/>
    <mergeCell ref="E81:I81"/>
    <mergeCell ref="C167:M167"/>
    <mergeCell ref="C163:M163"/>
    <mergeCell ref="C164:M164"/>
    <mergeCell ref="C165:M165"/>
    <mergeCell ref="H128:M128"/>
    <mergeCell ref="C160:M160"/>
    <mergeCell ref="E73:I73"/>
    <mergeCell ref="E75:I75"/>
    <mergeCell ref="E77:I77"/>
    <mergeCell ref="K77:M77"/>
    <mergeCell ref="K79:M79"/>
    <mergeCell ref="C6:M7"/>
    <mergeCell ref="C120:I121"/>
    <mergeCell ref="E29:J29"/>
    <mergeCell ref="C110:I111"/>
    <mergeCell ref="C113:I115"/>
    <mergeCell ref="E17:M17"/>
    <mergeCell ref="E21:F21"/>
    <mergeCell ref="C9:K9"/>
    <mergeCell ref="E35:M35"/>
    <mergeCell ref="E37:M37"/>
    <mergeCell ref="E39:F39"/>
    <mergeCell ref="H39:M39"/>
    <mergeCell ref="K13:M13"/>
    <mergeCell ref="E83:I83"/>
    <mergeCell ref="C46:M46"/>
    <mergeCell ref="K81:M81"/>
    <mergeCell ref="K83:M83"/>
    <mergeCell ref="E19:M19"/>
    <mergeCell ref="H21:M21"/>
    <mergeCell ref="H41:M41"/>
    <mergeCell ref="C47:M47"/>
    <mergeCell ref="C48:M48"/>
    <mergeCell ref="E27:F27"/>
    <mergeCell ref="C50:M50"/>
    <mergeCell ref="C202:M202"/>
    <mergeCell ref="C203:M203"/>
    <mergeCell ref="H27:J27"/>
    <mergeCell ref="E31:F31"/>
    <mergeCell ref="H31:M31"/>
    <mergeCell ref="C45:M45"/>
    <mergeCell ref="C123:E123"/>
    <mergeCell ref="E147:G147"/>
    <mergeCell ref="H147:K147"/>
    <mergeCell ref="K71:M71"/>
    <mergeCell ref="F123:I124"/>
    <mergeCell ref="C134:M135"/>
    <mergeCell ref="C141:M141"/>
    <mergeCell ref="K73:M73"/>
    <mergeCell ref="C117:I118"/>
    <mergeCell ref="K123:M124"/>
    <mergeCell ref="C139:M139"/>
    <mergeCell ref="E99:I99"/>
    <mergeCell ref="E97:I97"/>
    <mergeCell ref="E79:I79"/>
    <mergeCell ref="K75:M75"/>
    <mergeCell ref="E65:I65"/>
    <mergeCell ref="C62:M62"/>
    <mergeCell ref="C58:K58"/>
    <mergeCell ref="C49:M49"/>
    <mergeCell ref="C275:M276"/>
    <mergeCell ref="E89:I89"/>
    <mergeCell ref="E91:I91"/>
    <mergeCell ref="E93:I93"/>
    <mergeCell ref="E95:I95"/>
    <mergeCell ref="C268:H268"/>
    <mergeCell ref="C270:H270"/>
    <mergeCell ref="C232:M232"/>
    <mergeCell ref="C233:M233"/>
    <mergeCell ref="C234:M234"/>
    <mergeCell ref="C264:H264"/>
    <mergeCell ref="C266:H266"/>
    <mergeCell ref="C262:H262"/>
    <mergeCell ref="C224:M224"/>
    <mergeCell ref="C227:M227"/>
    <mergeCell ref="C195:M195"/>
    <mergeCell ref="E178:G178"/>
    <mergeCell ref="H178:K178"/>
    <mergeCell ref="C196:M196"/>
    <mergeCell ref="C226:M226"/>
    <mergeCell ref="C198:M198"/>
    <mergeCell ref="C200:M200"/>
    <mergeCell ref="C201:M201"/>
  </mergeCells>
  <phoneticPr fontId="1" type="noConversion"/>
  <dataValidations count="16">
    <dataValidation type="list" allowBlank="1" showInputMessage="1" showErrorMessage="1" promptTitle="Sprache / Language" prompt="Bitte wählen Sie die gewünschte Sprache aus._x000a_Please select the preferred language." sqref="M9">
      <formula1>lu.DDL.Language</formula1>
    </dataValidation>
    <dataValidation type="list" allowBlank="1" showInputMessage="1" showErrorMessage="1" sqref="K13:L13">
      <formula1>lu.DDL.TypeOfQuote</formula1>
    </dataValidation>
    <dataValidation type="list" allowBlank="1" showInputMessage="1" showErrorMessage="1" sqref="E23 E41">
      <formula1>lu.DDL.Countries</formula1>
    </dataValidation>
    <dataValidation type="list" allowBlank="1" showInputMessage="1" showErrorMessage="1" sqref="M259 M85 M117 M110 M113 M120 M238 M60">
      <formula1>lu.DLL.YesNo</formula1>
    </dataValidation>
    <dataValidation type="list" allowBlank="1" showInputMessage="1" showErrorMessage="1" sqref="M27">
      <formula1>lu.DDL.Greetings</formula1>
    </dataValidation>
    <dataValidation type="list" allowBlank="1" showInputMessage="1" showErrorMessage="1" sqref="M29">
      <formula1>lu.DDL.ContactType</formula1>
    </dataValidation>
    <dataValidation type="list" allowBlank="1" showInputMessage="1" showErrorMessage="1" promptTitle="Eingabe / Input" prompt="Verlängerte Werkbank oder eigene Spezifikation._x000a_Contract manufacturing or own specification." sqref="K89 K91 K99 K97 K93:K95">
      <formula1>lu.DDL.TypeOfProduction</formula1>
    </dataValidation>
    <dataValidation type="list" allowBlank="1" showInputMessage="1" showErrorMessage="1" errorTitle="Eingabe / Input" error="Nur die angegebenen Werte in der Liste sind gültig!_x000a_Only the given values are valid!" promptTitle="Eingabe / Input" prompt="Wählen Sie die gewünschte Deckungssumme aus!_x000a_Please select the desired limit of indemnity!" sqref="K132">
      <formula1>lu.DDL.LimitOfIndemnity</formula1>
    </dataValidation>
    <dataValidation type="date" allowBlank="1" showInputMessage="1" showErrorMessage="1" errorTitle="Eingabe / Input" error="Ein gültiges Datum ist erforderlich._x000a_A valid date is required." promptTitle="Eingabe / Input" prompt="Geben Sie das Datum ein, an dem der Schaden eingetreten ist._x000a_Please enter the date when the claim occured." sqref="I264 I266 I268 I270">
      <formula1>40179</formula1>
      <formula2>44196</formula2>
    </dataValidation>
    <dataValidation type="date" allowBlank="1" showInputMessage="1" showErrorMessage="1" errorTitle="Eingabe / Input" error="Ein gültiges Datum ist erforderlich._x000a_A valid date is required." promptTitle="Eingabe / Input" sqref="F128">
      <formula1>40179</formula1>
      <formula2>44196</formula2>
    </dataValidation>
    <dataValidation type="whole" allowBlank="1" showInputMessage="1" showErrorMessage="1" errorTitle="Eingabe / Input" error="Bitte geben Sie eine Zahl ein!_x000a_Please enter a figure!" promptTitle="Eingabe / Input" prompt="Bitte geben Sie den Betrag ein!_x000a_Please enter an amount!" sqref="E150:F156 H150:I156 E181:F187 H181:I187 E212:F218 H212:I218">
      <formula1>1</formula1>
      <formula2>100000000000</formula2>
    </dataValidation>
    <dataValidation type="whole" allowBlank="1" showInputMessage="1" showErrorMessage="1" promptTitle="Eingabe / Input" prompt="Umsatz mit versicherten Unternehmen größer 50%_x000a_Sales with insured company greater than 50%" sqref="M94">
      <formula1>0</formula1>
      <formula2>10000000</formula2>
    </dataValidation>
    <dataValidation type="whole" allowBlank="1" showInputMessage="1" showErrorMessage="1" promptTitle="Eingabe / Input" prompt="Umsatz der versicherten Unternehmen (gezeigt kEUR)_x000a_Sales of insured company (shown kEUR)" sqref="M89 M91 M93 M95 M97 M99">
      <formula1>0</formula1>
      <formula2>100000000000</formula2>
    </dataValidation>
    <dataValidation type="whole" allowBlank="1" showInputMessage="1" showErrorMessage="1" promptTitle="Eingabe / Input" prompt="Schadenaufwand (gezeigt kEUR)_x000a_Claims amount (shown as kEUR)" sqref="K270 K268 K266 K264">
      <formula1>0</formula1>
      <formula2>100000000000</formula2>
    </dataValidation>
    <dataValidation type="whole" allowBlank="1" showInputMessage="1" showErrorMessage="1" promptTitle="Eingabe / Input" prompt="Offene Reserven (gezeigt kEUR)_x000a_Open claims reserve (shown as kEUR)" sqref="M264 M266 M268 M270">
      <formula1>0</formula1>
      <formula2>100000000000</formula2>
    </dataValidation>
    <dataValidation type="whole" allowBlank="1" showInputMessage="1" showErrorMessage="1" promptTitle="Eingabe / Input" prompt="Aussenumsatz der versicherten Unternehmen (gezeigt kEUR)_x000a_External turnover of insured company (shown as kEUR)" sqref="M244 M248 M246 M250 M252 M254">
      <formula1>0</formula1>
      <formula2>100000000000</formula2>
    </dataValidation>
  </dataValidations>
  <hyperlinks>
    <hyperlink ref="M58" r:id="rId1" display="https://www.willistowerswatson.com/en-GB/Solutions/products/airbus-suppliers"/>
  </hyperlinks>
  <printOptions horizontalCentered="1"/>
  <pageMargins left="0.78740157480314965" right="0.78740157480314965" top="0.62992125984251968" bottom="0.39370078740157483" header="0.31496062992125984" footer="0.19685039370078741"/>
  <pageSetup paperSize="9" scale="57" fitToHeight="0" orientation="portrait" r:id="rId2"/>
  <headerFooter alignWithMargins="0">
    <oddFooter>&amp;LWillis GmbH &amp; Co. KG&amp;C&amp;G&amp;R&amp;P / &amp;N</oddFooter>
  </headerFooter>
  <ignoredErrors>
    <ignoredError sqref="M58" unlockedFormula="1"/>
  </ignoredError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GX275"/>
  <sheetViews>
    <sheetView workbookViewId="0">
      <pane xSplit="2" ySplit="4" topLeftCell="C5" activePane="bottomRight" state="frozen"/>
      <selection activeCell="C5" sqref="C5"/>
      <selection pane="topRight" activeCell="C5" sqref="C5"/>
      <selection pane="bottomLeft" activeCell="C5" sqref="C5"/>
      <selection pane="bottomRight" activeCell="B5" sqref="B5"/>
    </sheetView>
  </sheetViews>
  <sheetFormatPr defaultColWidth="11.42578125" defaultRowHeight="12.75" x14ac:dyDescent="0.2"/>
  <cols>
    <col min="1" max="1" width="2.7109375" bestFit="1" customWidth="1"/>
    <col min="2" max="2" width="37.5703125" bestFit="1" customWidth="1"/>
    <col min="3" max="3" width="16.42578125" customWidth="1"/>
    <col min="4" max="4" width="23.42578125" customWidth="1"/>
    <col min="5" max="5" width="24.140625" customWidth="1"/>
    <col min="6" max="6" width="24.42578125" bestFit="1" customWidth="1"/>
    <col min="7" max="7" width="22.5703125" customWidth="1"/>
    <col min="8" max="8" width="23" customWidth="1"/>
    <col min="9" max="9" width="25.7109375" customWidth="1"/>
    <col min="10" max="10" width="31.7109375" bestFit="1" customWidth="1"/>
    <col min="11" max="11" width="31.140625" customWidth="1"/>
    <col min="12" max="12" width="33.5703125" bestFit="1" customWidth="1"/>
    <col min="13" max="13" width="33.140625" bestFit="1" customWidth="1"/>
    <col min="14" max="15" width="27.140625" customWidth="1"/>
    <col min="16" max="16" width="34.28515625" bestFit="1" customWidth="1"/>
    <col min="17" max="17" width="30" bestFit="1" customWidth="1"/>
    <col min="18" max="18" width="24.140625" customWidth="1"/>
    <col min="19" max="19" width="24.42578125" bestFit="1" customWidth="1"/>
    <col min="20" max="20" width="22.5703125" customWidth="1"/>
    <col min="21" max="21" width="23" customWidth="1"/>
    <col min="22" max="22" width="25.7109375" customWidth="1"/>
    <col min="23" max="23" width="31.7109375" customWidth="1"/>
    <col min="24" max="27" width="33.140625" bestFit="1" customWidth="1"/>
    <col min="28" max="28" width="23.7109375" customWidth="1"/>
    <col min="29" max="29" width="28.42578125" bestFit="1" customWidth="1"/>
    <col min="30" max="33" width="24" customWidth="1"/>
    <col min="34" max="34" width="29.5703125" bestFit="1" customWidth="1"/>
    <col min="35" max="35" width="28.42578125" bestFit="1" customWidth="1"/>
    <col min="36" max="36" width="24" customWidth="1"/>
    <col min="37" max="37" width="29.5703125" bestFit="1" customWidth="1"/>
    <col min="38" max="38" width="28.42578125" bestFit="1" customWidth="1"/>
    <col min="39" max="39" width="24" customWidth="1"/>
    <col min="40" max="40" width="29.5703125" bestFit="1" customWidth="1"/>
    <col min="41" max="41" width="28.42578125" bestFit="1" customWidth="1"/>
    <col min="42" max="42" width="24" customWidth="1"/>
    <col min="43" max="43" width="29.5703125" bestFit="1" customWidth="1"/>
    <col min="44" max="44" width="20.85546875" customWidth="1"/>
    <col min="45" max="45" width="26.85546875" bestFit="1" customWidth="1"/>
    <col min="46" max="46" width="22.42578125" customWidth="1"/>
    <col min="47" max="47" width="20.85546875" customWidth="1"/>
    <col min="48" max="48" width="26.85546875" bestFit="1" customWidth="1"/>
    <col min="49" max="49" width="22.42578125" customWidth="1"/>
    <col min="50" max="50" width="20.85546875" customWidth="1"/>
    <col min="51" max="51" width="26.85546875" bestFit="1" customWidth="1"/>
    <col min="52" max="52" width="22.42578125" customWidth="1"/>
    <col min="53" max="53" width="20.85546875" customWidth="1"/>
    <col min="54" max="54" width="26.85546875" bestFit="1" customWidth="1"/>
    <col min="55" max="55" width="22.42578125" customWidth="1"/>
    <col min="56" max="56" width="20.85546875" customWidth="1"/>
    <col min="57" max="57" width="26.85546875" bestFit="1" customWidth="1"/>
    <col min="58" max="58" width="22.42578125" customWidth="1"/>
    <col min="59" max="59" width="20.85546875" customWidth="1"/>
    <col min="60" max="60" width="26.85546875" bestFit="1" customWidth="1"/>
    <col min="61" max="61" width="22.42578125" customWidth="1"/>
    <col min="62" max="62" width="20.85546875" customWidth="1"/>
    <col min="63" max="63" width="26.85546875" bestFit="1" customWidth="1"/>
    <col min="64" max="64" width="22.42578125" customWidth="1"/>
    <col min="65" max="65" width="26" customWidth="1"/>
    <col min="66" max="66" width="27.5703125" bestFit="1" customWidth="1"/>
    <col min="67" max="67" width="26.85546875" bestFit="1" customWidth="1"/>
    <col min="68" max="68" width="22.42578125" customWidth="1"/>
    <col min="69" max="69" width="26" customWidth="1"/>
    <col min="70" max="70" width="27.5703125" bestFit="1" customWidth="1"/>
    <col min="71" max="71" width="26.85546875" bestFit="1" customWidth="1"/>
    <col min="72" max="72" width="22.42578125" customWidth="1"/>
    <col min="73" max="73" width="26" customWidth="1"/>
    <col min="74" max="74" width="27.5703125" bestFit="1" customWidth="1"/>
    <col min="75" max="75" width="26.85546875" bestFit="1" customWidth="1"/>
    <col min="76" max="76" width="22.42578125" customWidth="1"/>
    <col min="77" max="77" width="26" customWidth="1"/>
    <col min="78" max="78" width="27.5703125" bestFit="1" customWidth="1"/>
    <col min="79" max="79" width="23.28515625" bestFit="1" customWidth="1"/>
    <col min="80" max="80" width="19.7109375" customWidth="1"/>
    <col min="81" max="81" width="22.5703125" bestFit="1" customWidth="1"/>
    <col min="82" max="82" width="27.5703125" bestFit="1" customWidth="1"/>
    <col min="83" max="83" width="23.28515625" bestFit="1" customWidth="1"/>
    <col min="84" max="84" width="19.7109375" customWidth="1"/>
    <col min="85" max="85" width="22.5703125" bestFit="1" customWidth="1"/>
    <col min="86" max="86" width="27.5703125" bestFit="1" customWidth="1"/>
    <col min="87" max="87" width="23.28515625" bestFit="1" customWidth="1"/>
    <col min="88" max="88" width="19.7109375" customWidth="1"/>
    <col min="89" max="89" width="22.5703125" bestFit="1" customWidth="1"/>
    <col min="90" max="90" width="30.85546875" customWidth="1"/>
    <col min="91" max="91" width="37.5703125" bestFit="1" customWidth="1"/>
    <col min="92" max="92" width="19.85546875" bestFit="1" customWidth="1"/>
    <col min="93" max="93" width="19.140625" customWidth="1"/>
    <col min="94" max="94" width="37.28515625" customWidth="1"/>
    <col min="95" max="95" width="37.85546875" customWidth="1"/>
    <col min="96" max="96" width="37.7109375" customWidth="1"/>
    <col min="97" max="97" width="38.28515625" customWidth="1"/>
    <col min="98" max="98" width="37.28515625" bestFit="1" customWidth="1"/>
    <col min="99" max="99" width="37.85546875" bestFit="1" customWidth="1"/>
    <col min="100" max="100" width="38.7109375" bestFit="1" customWidth="1"/>
    <col min="101" max="101" width="37.7109375" customWidth="1"/>
    <col min="102" max="102" width="38.28515625" bestFit="1" customWidth="1"/>
    <col min="103" max="103" width="40.28515625" bestFit="1" customWidth="1"/>
    <col min="104" max="104" width="40.85546875" bestFit="1" customWidth="1"/>
    <col min="105" max="105" width="32.28515625" customWidth="1"/>
    <col min="106" max="106" width="32.85546875" customWidth="1"/>
    <col min="107" max="107" width="34.85546875" bestFit="1" customWidth="1"/>
    <col min="108" max="108" width="35.42578125" bestFit="1" customWidth="1"/>
    <col min="109" max="109" width="34.42578125" bestFit="1" customWidth="1"/>
    <col min="110" max="110" width="35" bestFit="1" customWidth="1"/>
    <col min="111" max="111" width="37.140625" bestFit="1" customWidth="1"/>
    <col min="112" max="112" width="37.7109375" bestFit="1" customWidth="1"/>
    <col min="113" max="113" width="33.85546875" bestFit="1" customWidth="1"/>
    <col min="114" max="114" width="34.42578125" bestFit="1" customWidth="1"/>
    <col min="115" max="115" width="36.42578125" bestFit="1" customWidth="1"/>
    <col min="116" max="116" width="37.140625" bestFit="1" customWidth="1"/>
    <col min="117" max="117" width="36" bestFit="1" customWidth="1"/>
    <col min="118" max="118" width="36.7109375" bestFit="1" customWidth="1"/>
    <col min="119" max="119" width="38.7109375" bestFit="1" customWidth="1"/>
    <col min="120" max="120" width="39.28515625" bestFit="1" customWidth="1"/>
    <col min="121" max="121" width="27.85546875" bestFit="1" customWidth="1"/>
    <col min="122" max="122" width="28.42578125" bestFit="1" customWidth="1"/>
    <col min="123" max="123" width="30.42578125" bestFit="1" customWidth="1"/>
    <col min="124" max="124" width="31" bestFit="1" customWidth="1"/>
    <col min="125" max="125" width="35.85546875" bestFit="1" customWidth="1"/>
    <col min="126" max="126" width="36.42578125" bestFit="1" customWidth="1"/>
    <col min="127" max="127" width="38.5703125" bestFit="1" customWidth="1"/>
    <col min="128" max="128" width="39.140625" bestFit="1" customWidth="1"/>
    <col min="129" max="129" width="38.140625" bestFit="1" customWidth="1"/>
    <col min="130" max="130" width="38.7109375" bestFit="1" customWidth="1"/>
    <col min="131" max="131" width="40.7109375" bestFit="1" customWidth="1"/>
    <col min="132" max="132" width="41.28515625" bestFit="1" customWidth="1"/>
    <col min="133" max="133" width="32.7109375" customWidth="1"/>
    <col min="134" max="134" width="33.28515625" customWidth="1"/>
    <col min="135" max="135" width="35.28515625" customWidth="1"/>
    <col min="136" max="136" width="35.85546875" customWidth="1"/>
    <col min="137" max="137" width="34.85546875" customWidth="1"/>
    <col min="138" max="138" width="35.42578125" bestFit="1" customWidth="1"/>
    <col min="139" max="139" width="37.5703125" bestFit="1" customWidth="1"/>
    <col min="140" max="140" width="38.140625" bestFit="1" customWidth="1"/>
    <col min="141" max="141" width="34.28515625" bestFit="1" customWidth="1"/>
    <col min="142" max="142" width="34.85546875" bestFit="1" customWidth="1"/>
    <col min="143" max="143" width="37" bestFit="1" customWidth="1"/>
    <col min="144" max="144" width="37.5703125" bestFit="1" customWidth="1"/>
    <col min="145" max="145" width="36.42578125" bestFit="1" customWidth="1"/>
    <col min="146" max="146" width="37.140625" bestFit="1" customWidth="1"/>
    <col min="147" max="147" width="39.140625" bestFit="1" customWidth="1"/>
    <col min="148" max="148" width="39.7109375" bestFit="1" customWidth="1"/>
    <col min="149" max="149" width="28.28515625" bestFit="1" customWidth="1"/>
    <col min="150" max="150" width="28.85546875" bestFit="1" customWidth="1"/>
    <col min="151" max="151" width="30.85546875" bestFit="1" customWidth="1"/>
    <col min="152" max="152" width="31.5703125" bestFit="1" customWidth="1"/>
    <col min="153" max="153" width="35.42578125" bestFit="1" customWidth="1"/>
    <col min="154" max="154" width="36" bestFit="1" customWidth="1"/>
    <col min="155" max="155" width="38.140625" bestFit="1" customWidth="1"/>
    <col min="156" max="156" width="38.7109375" bestFit="1" customWidth="1"/>
    <col min="157" max="157" width="37.7109375" bestFit="1" customWidth="1"/>
    <col min="158" max="158" width="38.28515625" bestFit="1" customWidth="1"/>
    <col min="159" max="159" width="40.28515625" bestFit="1" customWidth="1"/>
    <col min="160" max="160" width="40.85546875" bestFit="1" customWidth="1"/>
    <col min="161" max="161" width="32.28515625" bestFit="1" customWidth="1"/>
    <col min="162" max="162" width="32.85546875" bestFit="1" customWidth="1"/>
    <col min="163" max="163" width="34.85546875" bestFit="1" customWidth="1"/>
    <col min="164" max="164" width="35.42578125" bestFit="1" customWidth="1"/>
    <col min="165" max="165" width="34.42578125" bestFit="1" customWidth="1"/>
    <col min="166" max="166" width="35" bestFit="1" customWidth="1"/>
    <col min="167" max="167" width="37.140625" bestFit="1" customWidth="1"/>
    <col min="168" max="168" width="37.7109375" bestFit="1" customWidth="1"/>
    <col min="169" max="169" width="33.85546875" bestFit="1" customWidth="1"/>
    <col min="170" max="170" width="34.42578125" bestFit="1" customWidth="1"/>
    <col min="171" max="171" width="36.42578125" bestFit="1" customWidth="1"/>
    <col min="172" max="172" width="37.140625" bestFit="1" customWidth="1"/>
    <col min="173" max="173" width="36" bestFit="1" customWidth="1"/>
    <col min="174" max="174" width="36.7109375" bestFit="1" customWidth="1"/>
    <col min="175" max="175" width="38.7109375" bestFit="1" customWidth="1"/>
    <col min="176" max="176" width="39.28515625" bestFit="1" customWidth="1"/>
    <col min="177" max="177" width="27.85546875" bestFit="1" customWidth="1"/>
    <col min="178" max="178" width="28.42578125" bestFit="1" customWidth="1"/>
    <col min="179" max="179" width="30.42578125" bestFit="1" customWidth="1"/>
    <col min="180" max="180" width="31" bestFit="1" customWidth="1"/>
    <col min="181" max="181" width="33.7109375" bestFit="1" customWidth="1"/>
    <col min="182" max="205" width="32.28515625" bestFit="1" customWidth="1"/>
    <col min="206" max="206" width="25.85546875" bestFit="1" customWidth="1"/>
  </cols>
  <sheetData>
    <row r="1" spans="1:206" x14ac:dyDescent="0.2">
      <c r="CS1" s="192" t="s">
        <v>387</v>
      </c>
      <c r="CT1" s="192" t="s">
        <v>416</v>
      </c>
      <c r="CU1" s="192" t="s">
        <v>387</v>
      </c>
      <c r="CV1" s="192" t="s">
        <v>416</v>
      </c>
      <c r="CW1" s="204" t="s">
        <v>387</v>
      </c>
      <c r="CX1" s="204" t="s">
        <v>416</v>
      </c>
      <c r="CY1" s="204" t="s">
        <v>387</v>
      </c>
      <c r="CZ1" s="204" t="s">
        <v>416</v>
      </c>
      <c r="DA1" s="202" t="s">
        <v>387</v>
      </c>
      <c r="DB1" s="202" t="s">
        <v>416</v>
      </c>
      <c r="DC1" s="202" t="s">
        <v>387</v>
      </c>
      <c r="DD1" s="202" t="s">
        <v>416</v>
      </c>
      <c r="DE1" s="204" t="s">
        <v>387</v>
      </c>
      <c r="DF1" s="204" t="s">
        <v>416</v>
      </c>
      <c r="DG1" s="204" t="s">
        <v>387</v>
      </c>
      <c r="DH1" s="204" t="s">
        <v>416</v>
      </c>
      <c r="DI1" s="202" t="s">
        <v>387</v>
      </c>
      <c r="DJ1" s="202" t="s">
        <v>416</v>
      </c>
      <c r="DK1" s="202" t="s">
        <v>387</v>
      </c>
      <c r="DL1" s="202" t="s">
        <v>416</v>
      </c>
      <c r="DM1" s="204" t="s">
        <v>387</v>
      </c>
      <c r="DN1" s="204" t="s">
        <v>416</v>
      </c>
      <c r="DO1" s="204" t="s">
        <v>387</v>
      </c>
      <c r="DP1" s="204" t="s">
        <v>416</v>
      </c>
      <c r="DQ1" s="202" t="s">
        <v>387</v>
      </c>
      <c r="DR1" s="202" t="s">
        <v>416</v>
      </c>
      <c r="DS1" s="202" t="s">
        <v>387</v>
      </c>
      <c r="DT1" s="202" t="s">
        <v>416</v>
      </c>
      <c r="DU1" s="192" t="s">
        <v>387</v>
      </c>
      <c r="DV1" s="192" t="s">
        <v>416</v>
      </c>
      <c r="DW1" s="192" t="s">
        <v>387</v>
      </c>
      <c r="DX1" s="192" t="s">
        <v>416</v>
      </c>
      <c r="DY1" s="204" t="s">
        <v>387</v>
      </c>
      <c r="DZ1" s="204" t="s">
        <v>416</v>
      </c>
      <c r="EA1" s="204" t="s">
        <v>387</v>
      </c>
      <c r="EB1" s="204" t="s">
        <v>416</v>
      </c>
      <c r="EC1" s="202" t="s">
        <v>387</v>
      </c>
      <c r="ED1" s="202" t="s">
        <v>416</v>
      </c>
      <c r="EE1" s="202" t="s">
        <v>387</v>
      </c>
      <c r="EF1" s="202" t="s">
        <v>416</v>
      </c>
      <c r="EG1" s="204" t="s">
        <v>387</v>
      </c>
      <c r="EH1" s="204" t="s">
        <v>416</v>
      </c>
      <c r="EI1" s="204" t="s">
        <v>387</v>
      </c>
      <c r="EJ1" s="204" t="s">
        <v>416</v>
      </c>
      <c r="EK1" s="202" t="s">
        <v>387</v>
      </c>
      <c r="EL1" s="202" t="s">
        <v>416</v>
      </c>
      <c r="EM1" s="202" t="s">
        <v>387</v>
      </c>
      <c r="EN1" s="202" t="s">
        <v>416</v>
      </c>
      <c r="EO1" s="204" t="s">
        <v>387</v>
      </c>
      <c r="EP1" s="204" t="s">
        <v>416</v>
      </c>
      <c r="EQ1" s="204" t="s">
        <v>387</v>
      </c>
      <c r="ER1" s="204" t="s">
        <v>416</v>
      </c>
      <c r="ES1" s="202" t="s">
        <v>387</v>
      </c>
      <c r="ET1" s="202" t="s">
        <v>416</v>
      </c>
      <c r="EU1" s="202" t="s">
        <v>387</v>
      </c>
      <c r="EV1" s="202" t="s">
        <v>416</v>
      </c>
      <c r="EW1" s="192" t="s">
        <v>387</v>
      </c>
      <c r="EX1" s="192" t="s">
        <v>416</v>
      </c>
      <c r="EY1" s="192" t="s">
        <v>387</v>
      </c>
      <c r="EZ1" s="192" t="s">
        <v>416</v>
      </c>
      <c r="FA1" s="204" t="s">
        <v>387</v>
      </c>
      <c r="FB1" s="204" t="s">
        <v>416</v>
      </c>
      <c r="FC1" s="204" t="s">
        <v>387</v>
      </c>
      <c r="FD1" s="204" t="s">
        <v>416</v>
      </c>
      <c r="FE1" s="202" t="s">
        <v>387</v>
      </c>
      <c r="FF1" s="202" t="s">
        <v>416</v>
      </c>
      <c r="FG1" s="202" t="s">
        <v>387</v>
      </c>
      <c r="FH1" s="202" t="s">
        <v>416</v>
      </c>
      <c r="FI1" s="204" t="s">
        <v>387</v>
      </c>
      <c r="FJ1" s="204" t="s">
        <v>416</v>
      </c>
      <c r="FK1" s="204" t="s">
        <v>387</v>
      </c>
      <c r="FL1" s="204" t="s">
        <v>416</v>
      </c>
      <c r="FM1" s="202" t="s">
        <v>387</v>
      </c>
      <c r="FN1" s="202" t="s">
        <v>416</v>
      </c>
      <c r="FO1" s="202" t="s">
        <v>387</v>
      </c>
      <c r="FP1" s="202" t="s">
        <v>416</v>
      </c>
      <c r="FQ1" s="204" t="s">
        <v>387</v>
      </c>
      <c r="FR1" s="204" t="s">
        <v>416</v>
      </c>
      <c r="FS1" s="204" t="s">
        <v>387</v>
      </c>
      <c r="FT1" s="204" t="s">
        <v>416</v>
      </c>
      <c r="FU1" s="202" t="s">
        <v>387</v>
      </c>
      <c r="FV1" s="202" t="s">
        <v>416</v>
      </c>
      <c r="FW1" s="202" t="s">
        <v>387</v>
      </c>
      <c r="FX1" s="202" t="s">
        <v>416</v>
      </c>
    </row>
    <row r="2" spans="1:206" x14ac:dyDescent="0.2">
      <c r="AH2" s="217"/>
      <c r="AU2" s="217"/>
      <c r="BL2" s="217"/>
      <c r="CS2" s="192" t="s">
        <v>414</v>
      </c>
      <c r="CT2" s="192" t="s">
        <v>414</v>
      </c>
      <c r="CU2" s="192" t="s">
        <v>415</v>
      </c>
      <c r="CV2" s="192" t="s">
        <v>415</v>
      </c>
      <c r="CW2" s="204" t="s">
        <v>414</v>
      </c>
      <c r="CX2" s="204" t="s">
        <v>414</v>
      </c>
      <c r="CY2" s="204" t="s">
        <v>415</v>
      </c>
      <c r="CZ2" s="204" t="s">
        <v>415</v>
      </c>
      <c r="DA2" s="202" t="s">
        <v>414</v>
      </c>
      <c r="DB2" s="202" t="s">
        <v>414</v>
      </c>
      <c r="DC2" s="202" t="s">
        <v>415</v>
      </c>
      <c r="DD2" s="202" t="s">
        <v>415</v>
      </c>
      <c r="DE2" s="204" t="s">
        <v>414</v>
      </c>
      <c r="DF2" s="204" t="s">
        <v>414</v>
      </c>
      <c r="DG2" s="204" t="s">
        <v>415</v>
      </c>
      <c r="DH2" s="204" t="s">
        <v>415</v>
      </c>
      <c r="DI2" s="202" t="s">
        <v>414</v>
      </c>
      <c r="DJ2" s="202" t="s">
        <v>414</v>
      </c>
      <c r="DK2" s="202" t="s">
        <v>415</v>
      </c>
      <c r="DL2" s="202" t="s">
        <v>415</v>
      </c>
      <c r="DM2" s="204" t="s">
        <v>414</v>
      </c>
      <c r="DN2" s="204" t="s">
        <v>414</v>
      </c>
      <c r="DO2" s="204" t="s">
        <v>415</v>
      </c>
      <c r="DP2" s="204" t="s">
        <v>415</v>
      </c>
      <c r="DQ2" s="202" t="s">
        <v>414</v>
      </c>
      <c r="DR2" s="202" t="s">
        <v>414</v>
      </c>
      <c r="DS2" s="202" t="s">
        <v>415</v>
      </c>
      <c r="DT2" s="202" t="s">
        <v>415</v>
      </c>
      <c r="DU2" s="192" t="s">
        <v>414</v>
      </c>
      <c r="DV2" s="192" t="s">
        <v>414</v>
      </c>
      <c r="DW2" s="192" t="s">
        <v>415</v>
      </c>
      <c r="DX2" s="192" t="s">
        <v>415</v>
      </c>
      <c r="DY2" s="204" t="s">
        <v>414</v>
      </c>
      <c r="DZ2" s="204" t="s">
        <v>414</v>
      </c>
      <c r="EA2" s="204" t="s">
        <v>415</v>
      </c>
      <c r="EB2" s="204" t="s">
        <v>415</v>
      </c>
      <c r="EC2" s="202" t="s">
        <v>414</v>
      </c>
      <c r="ED2" s="202" t="s">
        <v>414</v>
      </c>
      <c r="EE2" s="202" t="s">
        <v>415</v>
      </c>
      <c r="EF2" s="202" t="s">
        <v>415</v>
      </c>
      <c r="EG2" s="204" t="s">
        <v>414</v>
      </c>
      <c r="EH2" s="204" t="s">
        <v>414</v>
      </c>
      <c r="EI2" s="204" t="s">
        <v>415</v>
      </c>
      <c r="EJ2" s="204" t="s">
        <v>415</v>
      </c>
      <c r="EK2" s="202" t="s">
        <v>414</v>
      </c>
      <c r="EL2" s="202" t="s">
        <v>414</v>
      </c>
      <c r="EM2" s="202" t="s">
        <v>415</v>
      </c>
      <c r="EN2" s="202" t="s">
        <v>415</v>
      </c>
      <c r="EO2" s="204" t="s">
        <v>414</v>
      </c>
      <c r="EP2" s="204" t="s">
        <v>414</v>
      </c>
      <c r="EQ2" s="204" t="s">
        <v>415</v>
      </c>
      <c r="ER2" s="204" t="s">
        <v>415</v>
      </c>
      <c r="ES2" s="202" t="s">
        <v>414</v>
      </c>
      <c r="ET2" s="202" t="s">
        <v>414</v>
      </c>
      <c r="EU2" s="202" t="s">
        <v>415</v>
      </c>
      <c r="EV2" s="202" t="s">
        <v>415</v>
      </c>
      <c r="EW2" s="192" t="s">
        <v>414</v>
      </c>
      <c r="EX2" s="192" t="s">
        <v>414</v>
      </c>
      <c r="EY2" s="192" t="s">
        <v>415</v>
      </c>
      <c r="EZ2" s="192" t="s">
        <v>415</v>
      </c>
      <c r="FA2" s="204" t="s">
        <v>414</v>
      </c>
      <c r="FB2" s="204" t="s">
        <v>414</v>
      </c>
      <c r="FC2" s="204" t="s">
        <v>415</v>
      </c>
      <c r="FD2" s="204" t="s">
        <v>415</v>
      </c>
      <c r="FE2" s="202" t="s">
        <v>414</v>
      </c>
      <c r="FF2" s="202" t="s">
        <v>414</v>
      </c>
      <c r="FG2" s="202" t="s">
        <v>415</v>
      </c>
      <c r="FH2" s="202" t="s">
        <v>415</v>
      </c>
      <c r="FI2" s="204" t="s">
        <v>414</v>
      </c>
      <c r="FJ2" s="204" t="s">
        <v>414</v>
      </c>
      <c r="FK2" s="204" t="s">
        <v>415</v>
      </c>
      <c r="FL2" s="204" t="s">
        <v>415</v>
      </c>
      <c r="FM2" s="202" t="s">
        <v>414</v>
      </c>
      <c r="FN2" s="202" t="s">
        <v>414</v>
      </c>
      <c r="FO2" s="202" t="s">
        <v>415</v>
      </c>
      <c r="FP2" s="202" t="s">
        <v>415</v>
      </c>
      <c r="FQ2" s="204" t="s">
        <v>414</v>
      </c>
      <c r="FR2" s="204" t="s">
        <v>414</v>
      </c>
      <c r="FS2" s="204" t="s">
        <v>415</v>
      </c>
      <c r="FT2" s="204" t="s">
        <v>415</v>
      </c>
      <c r="FU2" s="202" t="s">
        <v>414</v>
      </c>
      <c r="FV2" s="202" t="s">
        <v>414</v>
      </c>
      <c r="FW2" s="202" t="s">
        <v>415</v>
      </c>
      <c r="FX2" s="202" t="s">
        <v>415</v>
      </c>
    </row>
    <row r="3" spans="1:206" x14ac:dyDescent="0.2">
      <c r="E3" s="173"/>
      <c r="F3" s="173"/>
      <c r="G3" s="173">
        <v>1</v>
      </c>
      <c r="H3" s="173">
        <v>2</v>
      </c>
      <c r="I3" s="173"/>
      <c r="J3" s="173"/>
      <c r="K3" s="173"/>
      <c r="L3" s="173"/>
      <c r="M3" s="173"/>
      <c r="N3" s="173" t="s">
        <v>350</v>
      </c>
      <c r="O3" s="173"/>
      <c r="P3" s="173"/>
      <c r="Q3" s="173"/>
      <c r="R3" s="173"/>
      <c r="S3" s="173"/>
      <c r="T3" s="173"/>
      <c r="U3" s="173" t="s">
        <v>351</v>
      </c>
      <c r="V3" s="173"/>
      <c r="W3" s="173"/>
      <c r="X3" s="173"/>
      <c r="Y3" s="173"/>
      <c r="Z3" s="173"/>
      <c r="AA3" s="173"/>
      <c r="AB3" s="173">
        <v>3</v>
      </c>
      <c r="AC3" s="173"/>
      <c r="AD3" s="173"/>
      <c r="AE3" s="173"/>
      <c r="AF3" s="173"/>
      <c r="AG3" s="173"/>
      <c r="AH3" s="173" t="s">
        <v>357</v>
      </c>
      <c r="AI3" s="173" t="s">
        <v>412</v>
      </c>
      <c r="AJ3" s="173"/>
      <c r="AK3" s="173"/>
      <c r="AL3" s="173" t="s">
        <v>412</v>
      </c>
      <c r="AM3" s="173"/>
      <c r="AN3" s="173"/>
      <c r="AO3" s="173" t="s">
        <v>412</v>
      </c>
      <c r="AP3" s="173"/>
      <c r="AQ3" s="173"/>
      <c r="AR3" s="173" t="s">
        <v>412</v>
      </c>
      <c r="AS3" s="173"/>
      <c r="AT3" s="173"/>
      <c r="AU3" s="173" t="s">
        <v>412</v>
      </c>
      <c r="AV3" s="173"/>
      <c r="AW3" s="173"/>
      <c r="AX3" s="173" t="s">
        <v>412</v>
      </c>
      <c r="AY3" s="173"/>
      <c r="AZ3" s="173"/>
      <c r="BA3" s="173" t="s">
        <v>412</v>
      </c>
      <c r="BB3" s="173"/>
      <c r="BC3" s="173"/>
      <c r="BD3" s="173" t="s">
        <v>412</v>
      </c>
      <c r="BE3" s="173"/>
      <c r="BF3" s="173"/>
      <c r="BG3" s="173" t="s">
        <v>412</v>
      </c>
      <c r="BH3" s="173"/>
      <c r="BI3" s="173"/>
      <c r="BJ3" s="173" t="s">
        <v>412</v>
      </c>
      <c r="BK3" s="173"/>
      <c r="BL3" s="173"/>
      <c r="BM3" s="173" t="s">
        <v>358</v>
      </c>
      <c r="BN3" s="173" t="s">
        <v>412</v>
      </c>
      <c r="BO3" s="173"/>
      <c r="BP3" s="173"/>
      <c r="BQ3" s="173"/>
      <c r="BR3" s="173" t="s">
        <v>412</v>
      </c>
      <c r="BS3" s="173"/>
      <c r="BT3" s="173"/>
      <c r="BU3" s="173"/>
      <c r="BV3" s="173" t="s">
        <v>412</v>
      </c>
      <c r="BW3" s="173"/>
      <c r="BX3" s="173"/>
      <c r="BY3" s="173"/>
      <c r="BZ3" s="173" t="s">
        <v>412</v>
      </c>
      <c r="CA3" s="173"/>
      <c r="CB3" s="173"/>
      <c r="CC3" s="173"/>
      <c r="CD3" s="173" t="s">
        <v>412</v>
      </c>
      <c r="CE3" s="173"/>
      <c r="CF3" s="173"/>
      <c r="CG3" s="173"/>
      <c r="CH3" s="173" t="s">
        <v>412</v>
      </c>
      <c r="CI3" s="173"/>
      <c r="CJ3" s="173"/>
      <c r="CK3" s="173"/>
      <c r="CL3" s="173">
        <v>5</v>
      </c>
      <c r="CM3" s="173"/>
      <c r="CN3" s="173"/>
      <c r="CO3" s="173"/>
      <c r="CP3" s="173"/>
      <c r="CQ3" s="173">
        <v>6</v>
      </c>
      <c r="CR3" s="173">
        <v>7</v>
      </c>
      <c r="CS3" s="192" t="s">
        <v>413</v>
      </c>
      <c r="CT3" s="192"/>
      <c r="CU3" s="192"/>
      <c r="CV3" s="192"/>
      <c r="CW3" s="204" t="s">
        <v>413</v>
      </c>
      <c r="CX3" s="204"/>
      <c r="CY3" s="204"/>
      <c r="CZ3" s="204"/>
      <c r="DA3" s="202" t="s">
        <v>413</v>
      </c>
      <c r="DB3" s="202"/>
      <c r="DC3" s="202"/>
      <c r="DD3" s="202"/>
      <c r="DE3" s="204" t="s">
        <v>413</v>
      </c>
      <c r="DF3" s="204"/>
      <c r="DG3" s="204"/>
      <c r="DH3" s="204"/>
      <c r="DI3" s="202" t="s">
        <v>413</v>
      </c>
      <c r="DJ3" s="202"/>
      <c r="DK3" s="202"/>
      <c r="DL3" s="202"/>
      <c r="DM3" s="204" t="s">
        <v>413</v>
      </c>
      <c r="DN3" s="204"/>
      <c r="DO3" s="204"/>
      <c r="DP3" s="204"/>
      <c r="DQ3" s="202" t="s">
        <v>413</v>
      </c>
      <c r="DR3" s="202"/>
      <c r="DS3" s="202"/>
      <c r="DT3" s="202"/>
      <c r="DU3" s="192" t="s">
        <v>417</v>
      </c>
      <c r="DV3" s="192"/>
      <c r="DW3" s="192"/>
      <c r="DX3" s="192"/>
      <c r="DY3" s="204" t="s">
        <v>417</v>
      </c>
      <c r="DZ3" s="204"/>
      <c r="EA3" s="204"/>
      <c r="EB3" s="204"/>
      <c r="EC3" s="202" t="s">
        <v>417</v>
      </c>
      <c r="ED3" s="202"/>
      <c r="EE3" s="202"/>
      <c r="EF3" s="202"/>
      <c r="EG3" s="204" t="s">
        <v>417</v>
      </c>
      <c r="EH3" s="204"/>
      <c r="EI3" s="204"/>
      <c r="EJ3" s="204"/>
      <c r="EK3" s="202" t="s">
        <v>417</v>
      </c>
      <c r="EL3" s="202"/>
      <c r="EM3" s="202"/>
      <c r="EN3" s="202"/>
      <c r="EO3" s="204" t="s">
        <v>417</v>
      </c>
      <c r="EP3" s="204"/>
      <c r="EQ3" s="204"/>
      <c r="ER3" s="204"/>
      <c r="ES3" s="202" t="s">
        <v>417</v>
      </c>
      <c r="ET3" s="202"/>
      <c r="EU3" s="202"/>
      <c r="EV3" s="202"/>
      <c r="EW3" s="192" t="s">
        <v>259</v>
      </c>
      <c r="EX3" s="192"/>
      <c r="EY3" s="192"/>
      <c r="EZ3" s="192"/>
      <c r="FA3" s="204" t="s">
        <v>259</v>
      </c>
      <c r="FB3" s="204"/>
      <c r="FC3" s="204"/>
      <c r="FD3" s="204"/>
      <c r="FE3" s="202" t="s">
        <v>259</v>
      </c>
      <c r="FF3" s="202"/>
      <c r="FG3" s="202"/>
      <c r="FH3" s="202"/>
      <c r="FI3" s="204" t="s">
        <v>259</v>
      </c>
      <c r="FJ3" s="204"/>
      <c r="FK3" s="204"/>
      <c r="FL3" s="204"/>
      <c r="FM3" s="202" t="s">
        <v>259</v>
      </c>
      <c r="FN3" s="202"/>
      <c r="FO3" s="202"/>
      <c r="FP3" s="202"/>
      <c r="FQ3" s="204" t="s">
        <v>259</v>
      </c>
      <c r="FR3" s="204"/>
      <c r="FS3" s="204"/>
      <c r="FT3" s="204"/>
      <c r="FU3" s="202" t="s">
        <v>259</v>
      </c>
      <c r="FV3" s="202"/>
      <c r="FW3" s="202"/>
      <c r="FX3" s="202"/>
      <c r="FY3" s="173">
        <v>9</v>
      </c>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v>10</v>
      </c>
    </row>
    <row r="4" spans="1:206" ht="23.25" thickBot="1" x14ac:dyDescent="0.25">
      <c r="B4" s="192" t="s">
        <v>273</v>
      </c>
      <c r="C4" s="191" t="s">
        <v>272</v>
      </c>
      <c r="E4" s="172" t="s">
        <v>347</v>
      </c>
      <c r="F4" s="172" t="s">
        <v>346</v>
      </c>
      <c r="G4" s="172" t="s">
        <v>348</v>
      </c>
      <c r="H4" s="172" t="s">
        <v>178</v>
      </c>
      <c r="I4" s="172" t="s">
        <v>66</v>
      </c>
      <c r="J4" s="172" t="s">
        <v>349</v>
      </c>
      <c r="K4" s="172" t="s">
        <v>8</v>
      </c>
      <c r="L4" s="172" t="s">
        <v>9</v>
      </c>
      <c r="M4" s="172" t="s">
        <v>177</v>
      </c>
      <c r="N4" s="172" t="s">
        <v>192</v>
      </c>
      <c r="O4" s="172" t="s">
        <v>123</v>
      </c>
      <c r="P4" s="172" t="s">
        <v>11</v>
      </c>
      <c r="Q4" s="172" t="s">
        <v>182</v>
      </c>
      <c r="R4" s="172" t="s">
        <v>133</v>
      </c>
      <c r="S4" s="172" t="s">
        <v>10</v>
      </c>
      <c r="T4" s="172" t="s">
        <v>198</v>
      </c>
      <c r="U4" s="172" t="s">
        <v>178</v>
      </c>
      <c r="V4" s="172" t="s">
        <v>66</v>
      </c>
      <c r="W4" s="172" t="s">
        <v>349</v>
      </c>
      <c r="X4" s="172" t="s">
        <v>8</v>
      </c>
      <c r="Y4" s="172" t="s">
        <v>9</v>
      </c>
      <c r="Z4" s="172" t="s">
        <v>177</v>
      </c>
      <c r="AA4" s="172" t="s">
        <v>11</v>
      </c>
      <c r="AB4" s="172" t="s">
        <v>354</v>
      </c>
      <c r="AC4" s="172" t="s">
        <v>355</v>
      </c>
      <c r="AD4" s="172" t="s">
        <v>356</v>
      </c>
      <c r="AE4" s="172" t="s">
        <v>502</v>
      </c>
      <c r="AF4" s="172" t="s">
        <v>503</v>
      </c>
      <c r="AG4" s="172" t="s">
        <v>504</v>
      </c>
      <c r="AH4" s="172" t="s">
        <v>359</v>
      </c>
      <c r="AI4" s="172" t="s">
        <v>361</v>
      </c>
      <c r="AJ4" s="172" t="s">
        <v>362</v>
      </c>
      <c r="AK4" s="172" t="s">
        <v>360</v>
      </c>
      <c r="AL4" s="172" t="s">
        <v>364</v>
      </c>
      <c r="AM4" s="172" t="s">
        <v>365</v>
      </c>
      <c r="AN4" s="172" t="s">
        <v>363</v>
      </c>
      <c r="AO4" s="172" t="s">
        <v>367</v>
      </c>
      <c r="AP4" s="172" t="s">
        <v>368</v>
      </c>
      <c r="AQ4" s="172" t="s">
        <v>366</v>
      </c>
      <c r="AR4" s="172" t="s">
        <v>370</v>
      </c>
      <c r="AS4" s="172" t="s">
        <v>371</v>
      </c>
      <c r="AT4" s="172" t="s">
        <v>369</v>
      </c>
      <c r="AU4" s="172" t="s">
        <v>444</v>
      </c>
      <c r="AV4" s="172" t="s">
        <v>445</v>
      </c>
      <c r="AW4" s="172" t="s">
        <v>446</v>
      </c>
      <c r="AX4" s="172" t="s">
        <v>447</v>
      </c>
      <c r="AY4" s="172" t="s">
        <v>448</v>
      </c>
      <c r="AZ4" s="172" t="s">
        <v>449</v>
      </c>
      <c r="BA4" s="172" t="s">
        <v>450</v>
      </c>
      <c r="BB4" s="172" t="s">
        <v>451</v>
      </c>
      <c r="BC4" s="172" t="s">
        <v>452</v>
      </c>
      <c r="BD4" s="172" t="s">
        <v>453</v>
      </c>
      <c r="BE4" s="172" t="s">
        <v>454</v>
      </c>
      <c r="BF4" s="172" t="s">
        <v>455</v>
      </c>
      <c r="BG4" s="172" t="s">
        <v>456</v>
      </c>
      <c r="BH4" s="172" t="s">
        <v>457</v>
      </c>
      <c r="BI4" s="172" t="s">
        <v>458</v>
      </c>
      <c r="BJ4" s="172" t="s">
        <v>459</v>
      </c>
      <c r="BK4" s="172" t="s">
        <v>460</v>
      </c>
      <c r="BL4" s="172" t="s">
        <v>461</v>
      </c>
      <c r="BM4" s="172" t="s">
        <v>372</v>
      </c>
      <c r="BN4" s="172" t="s">
        <v>361</v>
      </c>
      <c r="BO4" s="172" t="s">
        <v>360</v>
      </c>
      <c r="BP4" s="172" t="s">
        <v>373</v>
      </c>
      <c r="BQ4" s="172" t="s">
        <v>374</v>
      </c>
      <c r="BR4" s="172" t="s">
        <v>364</v>
      </c>
      <c r="BS4" s="172" t="s">
        <v>363</v>
      </c>
      <c r="BT4" s="172" t="s">
        <v>375</v>
      </c>
      <c r="BU4" s="172" t="s">
        <v>376</v>
      </c>
      <c r="BV4" s="172" t="s">
        <v>367</v>
      </c>
      <c r="BW4" s="172" t="s">
        <v>366</v>
      </c>
      <c r="BX4" s="172" t="s">
        <v>377</v>
      </c>
      <c r="BY4" s="172" t="s">
        <v>378</v>
      </c>
      <c r="BZ4" s="172" t="s">
        <v>370</v>
      </c>
      <c r="CA4" s="172" t="s">
        <v>369</v>
      </c>
      <c r="CB4" s="172" t="s">
        <v>379</v>
      </c>
      <c r="CC4" s="172" t="s">
        <v>380</v>
      </c>
      <c r="CD4" s="172" t="s">
        <v>444</v>
      </c>
      <c r="CE4" s="172" t="s">
        <v>446</v>
      </c>
      <c r="CF4" s="172" t="s">
        <v>521</v>
      </c>
      <c r="CG4" s="172" t="s">
        <v>522</v>
      </c>
      <c r="CH4" s="172" t="s">
        <v>447</v>
      </c>
      <c r="CI4" s="172" t="s">
        <v>449</v>
      </c>
      <c r="CJ4" s="172" t="s">
        <v>523</v>
      </c>
      <c r="CK4" s="172" t="s">
        <v>524</v>
      </c>
      <c r="CL4" s="172" t="s">
        <v>385</v>
      </c>
      <c r="CM4" s="172" t="s">
        <v>384</v>
      </c>
      <c r="CN4" s="172" t="s">
        <v>383</v>
      </c>
      <c r="CO4" s="172" t="s">
        <v>381</v>
      </c>
      <c r="CP4" s="172" t="s">
        <v>382</v>
      </c>
      <c r="CQ4" s="172" t="s">
        <v>232</v>
      </c>
      <c r="CR4" s="172" t="s">
        <v>386</v>
      </c>
      <c r="CS4" s="206" t="s">
        <v>252</v>
      </c>
      <c r="CT4" s="206" t="s">
        <v>252</v>
      </c>
      <c r="CU4" s="206" t="s">
        <v>252</v>
      </c>
      <c r="CV4" s="206" t="s">
        <v>252</v>
      </c>
      <c r="CW4" s="205" t="s">
        <v>253</v>
      </c>
      <c r="CX4" s="205" t="s">
        <v>253</v>
      </c>
      <c r="CY4" s="205" t="s">
        <v>253</v>
      </c>
      <c r="CZ4" s="205" t="s">
        <v>253</v>
      </c>
      <c r="DA4" s="203" t="s">
        <v>248</v>
      </c>
      <c r="DB4" s="203" t="s">
        <v>248</v>
      </c>
      <c r="DC4" s="203" t="s">
        <v>248</v>
      </c>
      <c r="DD4" s="203" t="s">
        <v>248</v>
      </c>
      <c r="DE4" s="205" t="s">
        <v>249</v>
      </c>
      <c r="DF4" s="205" t="s">
        <v>249</v>
      </c>
      <c r="DG4" s="205" t="s">
        <v>249</v>
      </c>
      <c r="DH4" s="205" t="s">
        <v>249</v>
      </c>
      <c r="DI4" s="203" t="s">
        <v>250</v>
      </c>
      <c r="DJ4" s="203" t="s">
        <v>250</v>
      </c>
      <c r="DK4" s="203" t="s">
        <v>250</v>
      </c>
      <c r="DL4" s="203" t="s">
        <v>250</v>
      </c>
      <c r="DM4" s="205" t="s">
        <v>251</v>
      </c>
      <c r="DN4" s="205" t="s">
        <v>251</v>
      </c>
      <c r="DO4" s="205" t="s">
        <v>251</v>
      </c>
      <c r="DP4" s="205" t="s">
        <v>251</v>
      </c>
      <c r="DQ4" s="203" t="s">
        <v>254</v>
      </c>
      <c r="DR4" s="203" t="s">
        <v>254</v>
      </c>
      <c r="DS4" s="203" t="s">
        <v>254</v>
      </c>
      <c r="DT4" s="203" t="s">
        <v>254</v>
      </c>
      <c r="DU4" s="206" t="s">
        <v>252</v>
      </c>
      <c r="DV4" s="206" t="s">
        <v>252</v>
      </c>
      <c r="DW4" s="206" t="s">
        <v>252</v>
      </c>
      <c r="DX4" s="206" t="s">
        <v>252</v>
      </c>
      <c r="DY4" s="205" t="s">
        <v>253</v>
      </c>
      <c r="DZ4" s="205" t="s">
        <v>253</v>
      </c>
      <c r="EA4" s="205" t="s">
        <v>253</v>
      </c>
      <c r="EB4" s="205" t="s">
        <v>253</v>
      </c>
      <c r="EC4" s="203" t="s">
        <v>248</v>
      </c>
      <c r="ED4" s="203" t="s">
        <v>248</v>
      </c>
      <c r="EE4" s="203" t="s">
        <v>248</v>
      </c>
      <c r="EF4" s="203" t="s">
        <v>248</v>
      </c>
      <c r="EG4" s="205" t="s">
        <v>249</v>
      </c>
      <c r="EH4" s="205" t="s">
        <v>249</v>
      </c>
      <c r="EI4" s="205" t="s">
        <v>249</v>
      </c>
      <c r="EJ4" s="205" t="s">
        <v>249</v>
      </c>
      <c r="EK4" s="203" t="s">
        <v>250</v>
      </c>
      <c r="EL4" s="203" t="s">
        <v>250</v>
      </c>
      <c r="EM4" s="203" t="s">
        <v>250</v>
      </c>
      <c r="EN4" s="203" t="s">
        <v>250</v>
      </c>
      <c r="EO4" s="205" t="s">
        <v>251</v>
      </c>
      <c r="EP4" s="205" t="s">
        <v>251</v>
      </c>
      <c r="EQ4" s="205" t="s">
        <v>251</v>
      </c>
      <c r="ER4" s="205" t="s">
        <v>251</v>
      </c>
      <c r="ES4" s="203" t="s">
        <v>254</v>
      </c>
      <c r="ET4" s="203" t="s">
        <v>254</v>
      </c>
      <c r="EU4" s="203" t="s">
        <v>254</v>
      </c>
      <c r="EV4" s="203" t="s">
        <v>254</v>
      </c>
      <c r="EW4" s="206" t="s">
        <v>252</v>
      </c>
      <c r="EX4" s="206" t="s">
        <v>252</v>
      </c>
      <c r="EY4" s="206" t="s">
        <v>252</v>
      </c>
      <c r="EZ4" s="206" t="s">
        <v>252</v>
      </c>
      <c r="FA4" s="205" t="s">
        <v>253</v>
      </c>
      <c r="FB4" s="205" t="s">
        <v>253</v>
      </c>
      <c r="FC4" s="205" t="s">
        <v>253</v>
      </c>
      <c r="FD4" s="205" t="s">
        <v>253</v>
      </c>
      <c r="FE4" s="203" t="s">
        <v>248</v>
      </c>
      <c r="FF4" s="203" t="s">
        <v>248</v>
      </c>
      <c r="FG4" s="203" t="s">
        <v>248</v>
      </c>
      <c r="FH4" s="203" t="s">
        <v>248</v>
      </c>
      <c r="FI4" s="205" t="s">
        <v>249</v>
      </c>
      <c r="FJ4" s="205" t="s">
        <v>249</v>
      </c>
      <c r="FK4" s="205" t="s">
        <v>249</v>
      </c>
      <c r="FL4" s="205" t="s">
        <v>249</v>
      </c>
      <c r="FM4" s="203" t="s">
        <v>250</v>
      </c>
      <c r="FN4" s="203" t="s">
        <v>250</v>
      </c>
      <c r="FO4" s="203" t="s">
        <v>250</v>
      </c>
      <c r="FP4" s="203" t="s">
        <v>250</v>
      </c>
      <c r="FQ4" s="205" t="s">
        <v>251</v>
      </c>
      <c r="FR4" s="205" t="s">
        <v>251</v>
      </c>
      <c r="FS4" s="205" t="s">
        <v>251</v>
      </c>
      <c r="FT4" s="205" t="s">
        <v>251</v>
      </c>
      <c r="FU4" s="203" t="s">
        <v>254</v>
      </c>
      <c r="FV4" s="203" t="s">
        <v>254</v>
      </c>
      <c r="FW4" s="203" t="s">
        <v>254</v>
      </c>
      <c r="FX4" s="203" t="s">
        <v>254</v>
      </c>
      <c r="FY4" s="173" t="s">
        <v>419</v>
      </c>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t="s">
        <v>418</v>
      </c>
    </row>
    <row r="5" spans="1:206" x14ac:dyDescent="0.2">
      <c r="B5" s="192" t="s">
        <v>154</v>
      </c>
      <c r="C5" s="191" t="str">
        <f>val.SelectedLanguage</f>
        <v>English</v>
      </c>
      <c r="E5" s="207" t="s">
        <v>273</v>
      </c>
      <c r="F5" s="208" t="s">
        <v>154</v>
      </c>
      <c r="G5" s="209" t="s">
        <v>274</v>
      </c>
      <c r="H5" s="209" t="s">
        <v>278</v>
      </c>
      <c r="I5" s="209" t="s">
        <v>279</v>
      </c>
      <c r="J5" s="209" t="s">
        <v>280</v>
      </c>
      <c r="K5" s="209" t="s">
        <v>275</v>
      </c>
      <c r="L5" s="209" t="s">
        <v>276</v>
      </c>
      <c r="M5" s="209" t="s">
        <v>277</v>
      </c>
      <c r="N5" s="209" t="s">
        <v>352</v>
      </c>
      <c r="O5" s="209" t="s">
        <v>283</v>
      </c>
      <c r="P5" s="209" t="s">
        <v>286</v>
      </c>
      <c r="Q5" s="209" t="s">
        <v>281</v>
      </c>
      <c r="R5" s="209" t="s">
        <v>282</v>
      </c>
      <c r="S5" s="209" t="s">
        <v>285</v>
      </c>
      <c r="T5" s="209" t="s">
        <v>353</v>
      </c>
      <c r="U5" s="209" t="s">
        <v>290</v>
      </c>
      <c r="V5" s="209" t="s">
        <v>291</v>
      </c>
      <c r="W5" s="209" t="s">
        <v>292</v>
      </c>
      <c r="X5" s="209" t="s">
        <v>287</v>
      </c>
      <c r="Y5" s="209" t="s">
        <v>288</v>
      </c>
      <c r="Z5" s="209" t="s">
        <v>289</v>
      </c>
      <c r="AA5" s="209" t="s">
        <v>501</v>
      </c>
      <c r="AB5" s="209" t="s">
        <v>293</v>
      </c>
      <c r="AC5" s="209" t="s">
        <v>294</v>
      </c>
      <c r="AD5" s="209" t="s">
        <v>295</v>
      </c>
      <c r="AE5" s="209" t="s">
        <v>505</v>
      </c>
      <c r="AF5" s="209" t="s">
        <v>506</v>
      </c>
      <c r="AG5" s="209" t="s">
        <v>507</v>
      </c>
      <c r="AH5" s="209" t="s">
        <v>325</v>
      </c>
      <c r="AI5" s="209" t="s">
        <v>297</v>
      </c>
      <c r="AJ5" s="209" t="s">
        <v>298</v>
      </c>
      <c r="AK5" s="209" t="s">
        <v>296</v>
      </c>
      <c r="AL5" s="209" t="s">
        <v>300</v>
      </c>
      <c r="AM5" s="209" t="s">
        <v>301</v>
      </c>
      <c r="AN5" s="209" t="s">
        <v>299</v>
      </c>
      <c r="AO5" s="209" t="s">
        <v>303</v>
      </c>
      <c r="AP5" s="209" t="s">
        <v>304</v>
      </c>
      <c r="AQ5" s="209" t="s">
        <v>302</v>
      </c>
      <c r="AR5" s="209" t="s">
        <v>306</v>
      </c>
      <c r="AS5" s="209" t="s">
        <v>307</v>
      </c>
      <c r="AT5" s="209" t="s">
        <v>305</v>
      </c>
      <c r="AU5" s="209" t="s">
        <v>426</v>
      </c>
      <c r="AV5" s="209" t="s">
        <v>427</v>
      </c>
      <c r="AW5" s="209" t="s">
        <v>428</v>
      </c>
      <c r="AX5" s="209" t="s">
        <v>429</v>
      </c>
      <c r="AY5" s="209" t="s">
        <v>430</v>
      </c>
      <c r="AZ5" s="209" t="s">
        <v>431</v>
      </c>
      <c r="BA5" s="209" t="s">
        <v>432</v>
      </c>
      <c r="BB5" s="209" t="s">
        <v>433</v>
      </c>
      <c r="BC5" s="209" t="s">
        <v>434</v>
      </c>
      <c r="BD5" s="209" t="s">
        <v>435</v>
      </c>
      <c r="BE5" s="209" t="s">
        <v>436</v>
      </c>
      <c r="BF5" s="209" t="s">
        <v>437</v>
      </c>
      <c r="BG5" s="209" t="s">
        <v>438</v>
      </c>
      <c r="BH5" s="209" t="s">
        <v>439</v>
      </c>
      <c r="BI5" s="209" t="s">
        <v>440</v>
      </c>
      <c r="BJ5" s="209" t="s">
        <v>441</v>
      </c>
      <c r="BK5" s="209" t="s">
        <v>442</v>
      </c>
      <c r="BL5" s="209" t="s">
        <v>443</v>
      </c>
      <c r="BM5" s="209" t="s">
        <v>324</v>
      </c>
      <c r="BN5" s="209" t="s">
        <v>309</v>
      </c>
      <c r="BO5" s="209" t="s">
        <v>308</v>
      </c>
      <c r="BP5" s="209" t="s">
        <v>310</v>
      </c>
      <c r="BQ5" s="209" t="s">
        <v>311</v>
      </c>
      <c r="BR5" s="209" t="s">
        <v>313</v>
      </c>
      <c r="BS5" s="209" t="s">
        <v>312</v>
      </c>
      <c r="BT5" s="209" t="s">
        <v>314</v>
      </c>
      <c r="BU5" s="209" t="s">
        <v>315</v>
      </c>
      <c r="BV5" s="209" t="s">
        <v>317</v>
      </c>
      <c r="BW5" s="209" t="s">
        <v>316</v>
      </c>
      <c r="BX5" s="209" t="s">
        <v>318</v>
      </c>
      <c r="BY5" s="209" t="s">
        <v>319</v>
      </c>
      <c r="BZ5" s="209" t="s">
        <v>321</v>
      </c>
      <c r="CA5" s="209" t="s">
        <v>320</v>
      </c>
      <c r="CB5" s="209" t="s">
        <v>322</v>
      </c>
      <c r="CC5" s="209" t="s">
        <v>323</v>
      </c>
      <c r="CD5" s="209" t="s">
        <v>514</v>
      </c>
      <c r="CE5" s="209" t="s">
        <v>513</v>
      </c>
      <c r="CF5" s="209" t="s">
        <v>515</v>
      </c>
      <c r="CG5" s="209" t="s">
        <v>516</v>
      </c>
      <c r="CH5" s="209" t="s">
        <v>518</v>
      </c>
      <c r="CI5" s="209" t="s">
        <v>517</v>
      </c>
      <c r="CJ5" s="209" t="s">
        <v>519</v>
      </c>
      <c r="CK5" s="209" t="s">
        <v>520</v>
      </c>
      <c r="CL5" s="209" t="s">
        <v>536</v>
      </c>
      <c r="CM5" s="209" t="s">
        <v>534</v>
      </c>
      <c r="CN5" s="209" t="s">
        <v>533</v>
      </c>
      <c r="CO5" s="209" t="s">
        <v>532</v>
      </c>
      <c r="CP5" s="209" t="s">
        <v>531</v>
      </c>
      <c r="CQ5" s="209" t="s">
        <v>541</v>
      </c>
      <c r="CR5" s="209" t="s">
        <v>542</v>
      </c>
      <c r="CS5" s="209" t="s">
        <v>633</v>
      </c>
      <c r="CT5" s="209" t="s">
        <v>634</v>
      </c>
      <c r="CU5" s="209" t="s">
        <v>635</v>
      </c>
      <c r="CV5" s="209" t="s">
        <v>636</v>
      </c>
      <c r="CW5" s="209" t="s">
        <v>553</v>
      </c>
      <c r="CX5" s="209" t="s">
        <v>554</v>
      </c>
      <c r="CY5" s="209" t="s">
        <v>555</v>
      </c>
      <c r="CZ5" s="209" t="s">
        <v>556</v>
      </c>
      <c r="DA5" s="209" t="s">
        <v>557</v>
      </c>
      <c r="DB5" s="209" t="s">
        <v>558</v>
      </c>
      <c r="DC5" s="209" t="s">
        <v>559</v>
      </c>
      <c r="DD5" s="209" t="s">
        <v>560</v>
      </c>
      <c r="DE5" s="209" t="s">
        <v>561</v>
      </c>
      <c r="DF5" s="209" t="s">
        <v>562</v>
      </c>
      <c r="DG5" s="209" t="s">
        <v>563</v>
      </c>
      <c r="DH5" s="209" t="s">
        <v>564</v>
      </c>
      <c r="DI5" s="209" t="s">
        <v>565</v>
      </c>
      <c r="DJ5" s="209" t="s">
        <v>566</v>
      </c>
      <c r="DK5" s="209" t="s">
        <v>567</v>
      </c>
      <c r="DL5" s="209" t="s">
        <v>568</v>
      </c>
      <c r="DM5" s="209" t="s">
        <v>569</v>
      </c>
      <c r="DN5" s="209" t="s">
        <v>570</v>
      </c>
      <c r="DO5" s="209" t="s">
        <v>571</v>
      </c>
      <c r="DP5" s="209" t="s">
        <v>572</v>
      </c>
      <c r="DQ5" s="209" t="s">
        <v>573</v>
      </c>
      <c r="DR5" s="209" t="s">
        <v>574</v>
      </c>
      <c r="DS5" s="209" t="s">
        <v>575</v>
      </c>
      <c r="DT5" s="209" t="s">
        <v>576</v>
      </c>
      <c r="DU5" s="209" t="s">
        <v>577</v>
      </c>
      <c r="DV5" s="209" t="s">
        <v>578</v>
      </c>
      <c r="DW5" s="209" t="s">
        <v>579</v>
      </c>
      <c r="DX5" s="209" t="s">
        <v>580</v>
      </c>
      <c r="DY5" s="209" t="s">
        <v>581</v>
      </c>
      <c r="DZ5" s="209" t="s">
        <v>582</v>
      </c>
      <c r="EA5" s="209" t="s">
        <v>583</v>
      </c>
      <c r="EB5" s="209" t="s">
        <v>584</v>
      </c>
      <c r="EC5" s="209" t="s">
        <v>585</v>
      </c>
      <c r="ED5" s="209" t="s">
        <v>586</v>
      </c>
      <c r="EE5" s="209" t="s">
        <v>587</v>
      </c>
      <c r="EF5" s="209" t="s">
        <v>588</v>
      </c>
      <c r="EG5" s="209" t="s">
        <v>589</v>
      </c>
      <c r="EH5" s="209" t="s">
        <v>590</v>
      </c>
      <c r="EI5" s="209" t="s">
        <v>591</v>
      </c>
      <c r="EJ5" s="209" t="s">
        <v>592</v>
      </c>
      <c r="EK5" s="209" t="s">
        <v>593</v>
      </c>
      <c r="EL5" s="209" t="s">
        <v>594</v>
      </c>
      <c r="EM5" s="209" t="s">
        <v>595</v>
      </c>
      <c r="EN5" s="209" t="s">
        <v>596</v>
      </c>
      <c r="EO5" s="209" t="s">
        <v>597</v>
      </c>
      <c r="EP5" s="209" t="s">
        <v>598</v>
      </c>
      <c r="EQ5" s="209" t="s">
        <v>599</v>
      </c>
      <c r="ER5" s="209" t="s">
        <v>600</v>
      </c>
      <c r="ES5" s="209" t="s">
        <v>601</v>
      </c>
      <c r="ET5" s="209" t="s">
        <v>602</v>
      </c>
      <c r="EU5" s="209" t="s">
        <v>603</v>
      </c>
      <c r="EV5" s="209" t="s">
        <v>604</v>
      </c>
      <c r="EW5" s="209" t="s">
        <v>605</v>
      </c>
      <c r="EX5" s="209" t="s">
        <v>606</v>
      </c>
      <c r="EY5" s="209" t="s">
        <v>607</v>
      </c>
      <c r="EZ5" s="209" t="s">
        <v>608</v>
      </c>
      <c r="FA5" s="209" t="s">
        <v>609</v>
      </c>
      <c r="FB5" s="209" t="s">
        <v>610</v>
      </c>
      <c r="FC5" s="209" t="s">
        <v>611</v>
      </c>
      <c r="FD5" s="209" t="s">
        <v>612</v>
      </c>
      <c r="FE5" s="209" t="s">
        <v>613</v>
      </c>
      <c r="FF5" s="209" t="s">
        <v>614</v>
      </c>
      <c r="FG5" s="209" t="s">
        <v>615</v>
      </c>
      <c r="FH5" s="209" t="s">
        <v>616</v>
      </c>
      <c r="FI5" s="209" t="s">
        <v>617</v>
      </c>
      <c r="FJ5" s="209" t="s">
        <v>618</v>
      </c>
      <c r="FK5" s="209" t="s">
        <v>619</v>
      </c>
      <c r="FL5" s="209" t="s">
        <v>620</v>
      </c>
      <c r="FM5" s="209" t="s">
        <v>621</v>
      </c>
      <c r="FN5" s="209" t="s">
        <v>622</v>
      </c>
      <c r="FO5" s="209" t="s">
        <v>623</v>
      </c>
      <c r="FP5" s="209" t="s">
        <v>624</v>
      </c>
      <c r="FQ5" s="209" t="s">
        <v>625</v>
      </c>
      <c r="FR5" s="209" t="s">
        <v>626</v>
      </c>
      <c r="FS5" s="209" t="s">
        <v>627</v>
      </c>
      <c r="FT5" s="209" t="s">
        <v>628</v>
      </c>
      <c r="FU5" s="209" t="s">
        <v>629</v>
      </c>
      <c r="FV5" s="209" t="s">
        <v>630</v>
      </c>
      <c r="FW5" s="209" t="s">
        <v>631</v>
      </c>
      <c r="FX5" s="209" t="s">
        <v>632</v>
      </c>
      <c r="FY5" s="209" t="s">
        <v>702</v>
      </c>
      <c r="FZ5" s="209" t="s">
        <v>686</v>
      </c>
      <c r="GA5" s="209" t="s">
        <v>690</v>
      </c>
      <c r="GB5" s="209" t="s">
        <v>694</v>
      </c>
      <c r="GC5" s="209" t="s">
        <v>698</v>
      </c>
      <c r="GD5" s="209" t="s">
        <v>687</v>
      </c>
      <c r="GE5" s="209" t="s">
        <v>691</v>
      </c>
      <c r="GF5" s="209" t="s">
        <v>695</v>
      </c>
      <c r="GG5" s="209" t="s">
        <v>699</v>
      </c>
      <c r="GH5" s="209" t="s">
        <v>688</v>
      </c>
      <c r="GI5" s="209" t="s">
        <v>692</v>
      </c>
      <c r="GJ5" s="209" t="s">
        <v>696</v>
      </c>
      <c r="GK5" s="209" t="s">
        <v>700</v>
      </c>
      <c r="GL5" s="209" t="s">
        <v>689</v>
      </c>
      <c r="GM5" s="209" t="s">
        <v>693</v>
      </c>
      <c r="GN5" s="209" t="s">
        <v>697</v>
      </c>
      <c r="GO5" s="209" t="s">
        <v>701</v>
      </c>
      <c r="GP5" s="209" t="s">
        <v>703</v>
      </c>
      <c r="GQ5" s="209" t="s">
        <v>704</v>
      </c>
      <c r="GR5" s="209" t="s">
        <v>705</v>
      </c>
      <c r="GS5" s="209" t="s">
        <v>706</v>
      </c>
      <c r="GT5" s="209" t="s">
        <v>707</v>
      </c>
      <c r="GU5" s="209" t="s">
        <v>708</v>
      </c>
      <c r="GV5" s="209" t="s">
        <v>709</v>
      </c>
      <c r="GW5" s="209" t="s">
        <v>710</v>
      </c>
      <c r="GX5" s="210" t="s">
        <v>335</v>
      </c>
    </row>
    <row r="6" spans="1:206" ht="13.5" thickBot="1" x14ac:dyDescent="0.25">
      <c r="B6" s="173" t="s">
        <v>274</v>
      </c>
      <c r="C6" s="173">
        <f>val.Sect1.SelectedTypeOfQuote</f>
        <v>0</v>
      </c>
      <c r="D6" s="173"/>
      <c r="E6" s="211" t="s">
        <v>272</v>
      </c>
      <c r="F6" s="212" t="str">
        <f>val.SelectedLanguage</f>
        <v>English</v>
      </c>
      <c r="G6" s="213">
        <f>val.Sect1.SelectedTypeOfQuote</f>
        <v>0</v>
      </c>
      <c r="H6" s="213">
        <f>val.Sect2.insured.company.City</f>
        <v>0</v>
      </c>
      <c r="I6" s="213">
        <f>val.Sect2.insured.company.country</f>
        <v>0</v>
      </c>
      <c r="J6" s="213" t="e">
        <f>val.Sect2.insured.company.countryOUTPUT</f>
        <v>#N/A</v>
      </c>
      <c r="K6" s="213">
        <f>val.Sect2.insured.company.name</f>
        <v>0</v>
      </c>
      <c r="L6" s="213">
        <f>val.Sect2.insured.company.street</f>
        <v>0</v>
      </c>
      <c r="M6" s="213">
        <f>val.Sect2.insured.company.ZIP</f>
        <v>0</v>
      </c>
      <c r="N6" s="213">
        <f>val.Sect2_1.insured.company.ALTname</f>
        <v>0</v>
      </c>
      <c r="O6" s="213">
        <f>val.Sect2_1.insured.company.contactgreeting</f>
        <v>0</v>
      </c>
      <c r="P6" s="213">
        <f>val.Sect2_1.insured.company.contactmail</f>
        <v>0</v>
      </c>
      <c r="Q6" s="213">
        <f>val.Sect2_1.insured.company.contactname</f>
        <v>0</v>
      </c>
      <c r="R6" s="213">
        <f>val.Sect2_1.insured.company.contactprename</f>
        <v>0</v>
      </c>
      <c r="S6" s="213">
        <f>val.Sect2_1.insured.company.contacttelephone</f>
        <v>0</v>
      </c>
      <c r="T6" s="213">
        <f>val.Sect2_1.insured.company.contacttype</f>
        <v>0</v>
      </c>
      <c r="U6" s="213">
        <f>val.Sect2_2.billed.company.City</f>
        <v>0</v>
      </c>
      <c r="V6" s="213">
        <f>val.Sect2_2.billed.company.country</f>
        <v>0</v>
      </c>
      <c r="W6" s="213" t="e">
        <f>val.Sect2_2.billed.company.countryOUTPUT</f>
        <v>#N/A</v>
      </c>
      <c r="X6" s="213">
        <f>val.Sect2_2.billed.company.name</f>
        <v>0</v>
      </c>
      <c r="Y6" s="213">
        <f>val.Sect2_2.billed.company.street</f>
        <v>0</v>
      </c>
      <c r="Z6" s="213">
        <f>val.Sect2_2.billed.company.ZIP</f>
        <v>0</v>
      </c>
      <c r="AA6" s="213">
        <f>val.Sect2_2.billed.company.contactmail</f>
        <v>0</v>
      </c>
      <c r="AB6" s="213">
        <f>val.Sect3.insured.company.businessactivity.1</f>
        <v>0</v>
      </c>
      <c r="AC6" s="213">
        <f>val.Sect3.insured.company.businessactivity.2</f>
        <v>0</v>
      </c>
      <c r="AD6" s="213">
        <f>val.Sect3.insured.company.businessactivity.3</f>
        <v>0</v>
      </c>
      <c r="AE6" s="213">
        <f>val.Sect3.insured.company.businessactivity.4</f>
        <v>0</v>
      </c>
      <c r="AF6" s="213">
        <f>val.Sect3.insured.company.businessactivity.5</f>
        <v>0</v>
      </c>
      <c r="AG6" s="213">
        <f>val.Sect3.insured.company.businessactivity.6</f>
        <v>0</v>
      </c>
      <c r="AH6" s="213">
        <f>val.Sect4_1.subsidiaries.YESNO</f>
        <v>0</v>
      </c>
      <c r="AI6" s="213">
        <f>val.Sect4_1.subsidiary1.address</f>
        <v>0</v>
      </c>
      <c r="AJ6" s="213">
        <f>val.Sect4_1.subsidiary1.businessactivity</f>
        <v>0</v>
      </c>
      <c r="AK6" s="213">
        <f>val.Sect4_1.subsidiary1.companyname</f>
        <v>0</v>
      </c>
      <c r="AL6" s="213">
        <f>val.Sect4_1.subsidiary2.address</f>
        <v>0</v>
      </c>
      <c r="AM6" s="213">
        <f>val.Sect4_1.subsidiary2.businessactivity</f>
        <v>0</v>
      </c>
      <c r="AN6" s="213">
        <f>val.Sect4_1.subsidiary2.companyname</f>
        <v>0</v>
      </c>
      <c r="AO6" s="213">
        <f>val.Sect4_1.subsidiary3.address</f>
        <v>0</v>
      </c>
      <c r="AP6" s="213">
        <f>val.Sect4_1.subsidiary3.businessactivity</f>
        <v>0</v>
      </c>
      <c r="AQ6" s="213">
        <f>val.Sect4_1.subsidiary3.companyname</f>
        <v>0</v>
      </c>
      <c r="AR6" s="213">
        <f>val.Sect4_1.subsidiary4.address</f>
        <v>0</v>
      </c>
      <c r="AS6" s="213">
        <f>val.Sect4_1.subsidiary4.businessactivity</f>
        <v>0</v>
      </c>
      <c r="AT6" s="213">
        <f>val.Sect4_1.subsidiary4.companyname</f>
        <v>0</v>
      </c>
      <c r="AU6" s="213">
        <f>val.Sect4_1.subsidiary5.address</f>
        <v>0</v>
      </c>
      <c r="AV6" s="213">
        <f>val.Sect4_1.subsidiary5.businessactivity</f>
        <v>0</v>
      </c>
      <c r="AW6" s="213">
        <f>val.Sect4_1.subsidiary5.companyname</f>
        <v>0</v>
      </c>
      <c r="AX6" s="213">
        <f>val.Sect4_1.subsidiary6.address</f>
        <v>0</v>
      </c>
      <c r="AY6" s="213">
        <f>val.Sect4_1.subsidiary6.businessactivity</f>
        <v>0</v>
      </c>
      <c r="AZ6" s="213">
        <f>val.Sect4_1.subsidiary6.companyname</f>
        <v>0</v>
      </c>
      <c r="BA6" s="213">
        <f>val.Sect4_1.subsidiary7.address</f>
        <v>0</v>
      </c>
      <c r="BB6" s="213">
        <f>val.Sect4_1.subsidiary7.businessactivity</f>
        <v>0</v>
      </c>
      <c r="BC6" s="213">
        <f>val.Sect4_1.subsidiary7.companyname</f>
        <v>0</v>
      </c>
      <c r="BD6" s="213">
        <f>val.Sect4_1.subsidiary8.address</f>
        <v>0</v>
      </c>
      <c r="BE6" s="213">
        <f>val.Sect4_1.subsidiary8.businessactivity</f>
        <v>0</v>
      </c>
      <c r="BF6" s="213">
        <f>val.Sect4_1.subsidiary8.companyname</f>
        <v>0</v>
      </c>
      <c r="BG6" s="213">
        <f>val.Sect4_1.subsidiary9.address</f>
        <v>0</v>
      </c>
      <c r="BH6" s="213">
        <f>val.Sect4_1.subsidiary9.businessactivity</f>
        <v>0</v>
      </c>
      <c r="BI6" s="213">
        <f>val.Sect4_1.subsidiary9.companyname</f>
        <v>0</v>
      </c>
      <c r="BJ6" s="213">
        <f>val.Sect4_1.subsidiary10.address</f>
        <v>0</v>
      </c>
      <c r="BK6" s="213">
        <f>val.Sect4_1.subsidiary10.businessactivity</f>
        <v>0</v>
      </c>
      <c r="BL6" s="213">
        <f>val.Sect4_1.subsidiary10.companyname</f>
        <v>0</v>
      </c>
      <c r="BM6" s="213">
        <f>val.Sect4_2.external.YESNO</f>
        <v>0</v>
      </c>
      <c r="BN6" s="213">
        <f>val.Sect4_2.external1.address</f>
        <v>0</v>
      </c>
      <c r="BO6" s="213">
        <f>val.Sect4_2.external1.companyname</f>
        <v>0</v>
      </c>
      <c r="BP6" s="213">
        <f>val.Sect4_2.external1.ContractOwn</f>
        <v>0</v>
      </c>
      <c r="BQ6" s="213">
        <f>val.Sect4_2.external1.Revenue50plus</f>
        <v>0</v>
      </c>
      <c r="BR6" s="213">
        <f>val.Sect4_2.external2.address</f>
        <v>0</v>
      </c>
      <c r="BS6" s="213">
        <f>val.Sect4_2.external2.companyname</f>
        <v>0</v>
      </c>
      <c r="BT6" s="213">
        <f>val.Sect4_2.external2.ContractOwn</f>
        <v>0</v>
      </c>
      <c r="BU6" s="213">
        <f>val.Sect4_2.external2.Revenue50plus</f>
        <v>0</v>
      </c>
      <c r="BV6" s="213">
        <f>val.Sect4_2.external3.address</f>
        <v>0</v>
      </c>
      <c r="BW6" s="213">
        <f>val.Sect4_2.external3.companyname</f>
        <v>0</v>
      </c>
      <c r="BX6" s="213">
        <f>val.Sect4_2.external3.ContractOwn</f>
        <v>0</v>
      </c>
      <c r="BY6" s="213">
        <f>val.Sect4_2.external3.Revenue50plus</f>
        <v>0</v>
      </c>
      <c r="BZ6" s="213">
        <f>val.Sect4_2.external4.address</f>
        <v>0</v>
      </c>
      <c r="CA6" s="213">
        <f>val.Sect4_2.external4.companyname</f>
        <v>0</v>
      </c>
      <c r="CB6" s="213">
        <f>val.Sect4_2.external4.ContractOwn</f>
        <v>0</v>
      </c>
      <c r="CC6" s="213">
        <f>val.Sect4_2.external4.Revenue50plus</f>
        <v>0</v>
      </c>
      <c r="CD6" s="213">
        <f>val.Sect4_2.external5.address</f>
        <v>0</v>
      </c>
      <c r="CE6" s="213">
        <f>val.Sect4_2.external5.companyname</f>
        <v>0</v>
      </c>
      <c r="CF6" s="213">
        <f>val.Sect4_2.external5.ContractOwn</f>
        <v>0</v>
      </c>
      <c r="CG6" s="213">
        <f>val.Sect4_2.external5.Revenue50plus</f>
        <v>0</v>
      </c>
      <c r="CH6" s="213">
        <f>val.Sect4_2.external6.address</f>
        <v>0</v>
      </c>
      <c r="CI6" s="213">
        <f>val.Sect4_2.external6.companyname</f>
        <v>0</v>
      </c>
      <c r="CJ6" s="213">
        <f>val.Sect4_2.external6.ContractOwn</f>
        <v>0</v>
      </c>
      <c r="CK6" s="213">
        <f>val.Sect4_2.external6.Revenue50plus</f>
        <v>0</v>
      </c>
      <c r="CL6" s="213">
        <f>val.Sect5.CtyListOfExportsToSanctionedCty</f>
        <v>0</v>
      </c>
      <c r="CM6" s="213">
        <f>val.Sect5.ExportsToSanctionedCty.YESNO</f>
        <v>0</v>
      </c>
      <c r="CN6" s="213">
        <f>val.Sect5.RelatedToSanctionedCty.YESNO</f>
        <v>0</v>
      </c>
      <c r="CO6" s="213">
        <f>val.Sect5.RiskInSanctionedCty.YESNO</f>
        <v>0</v>
      </c>
      <c r="CP6" s="213">
        <f>val.Sect5.SeatInSanctionedCty.YESNO</f>
        <v>0</v>
      </c>
      <c r="CQ6" s="214">
        <f>val.Sect6.StartOfInsurance</f>
        <v>43753</v>
      </c>
      <c r="CR6" s="213">
        <f>val.Sect7.LimitOfIndemnity</f>
        <v>0</v>
      </c>
      <c r="CS6" s="213">
        <f>val.Sect8_1.Aeronautics_civil.Prod.AIRBUS.ROW</f>
        <v>0</v>
      </c>
      <c r="CT6" s="213">
        <f>val.Sect8_1.Aeronautics_civil.Prod.AIRBUS.USCA</f>
        <v>0</v>
      </c>
      <c r="CU6" s="213">
        <f>val.Sect8_1.Aeronautics_civil.Prod.nonAIRBUS.ROW</f>
        <v>0</v>
      </c>
      <c r="CV6" s="213">
        <f>val.Sect8_1.Aeronautics_civil.Prod.nonAIRBUS.USCA</f>
        <v>0</v>
      </c>
      <c r="CW6" s="213">
        <f>val.Sect8_1.Aeronautics_military.Prod.AIRBUS.ROW</f>
        <v>0</v>
      </c>
      <c r="CX6" s="213">
        <f>val.Sect8_1.Aeronautics_military.Prod.AIRBUS.USCA</f>
        <v>0</v>
      </c>
      <c r="CY6" s="213">
        <f>val.Sect8_1.Aeronautics_military.Prod.nonAIRBUS.ROW</f>
        <v>0</v>
      </c>
      <c r="CZ6" s="213">
        <f>val.Sect8_1.Aeronautics_military.Prod.nonAIRBUS.USCA</f>
        <v>0</v>
      </c>
      <c r="DA6" s="213">
        <f>val.Sect8_1.Aircraft_civil.Prod.AIRBUS.ROW</f>
        <v>0</v>
      </c>
      <c r="DB6" s="213">
        <f>val.Sect8_1.Aircraft_civil.Prod.AIRBUS.USCA</f>
        <v>0</v>
      </c>
      <c r="DC6" s="213">
        <f>val.Sect8_1.Aircraft_civil.Prod.nonAIRBUS.ROW</f>
        <v>0</v>
      </c>
      <c r="DD6" s="213">
        <f>val.Sect8_1.Aircraft_civil.Prod.nonAIRBUS.USCA</f>
        <v>0</v>
      </c>
      <c r="DE6" s="213">
        <f>val.Sect8_1.Aircraft_military.Prod.AIRBUS.ROW</f>
        <v>0</v>
      </c>
      <c r="DF6" s="213">
        <f>val.Sect8_1.Aircraft_military.Prod.AIRBUS.USCA</f>
        <v>0</v>
      </c>
      <c r="DG6" s="213">
        <f>val.Sect8_1.Aircraft_military.Prod.nonAIRBUS.ROW</f>
        <v>0</v>
      </c>
      <c r="DH6" s="213">
        <f>val.Sect8_1.Aircraft_military.Prod.nonAIRBUS.USCA</f>
        <v>0</v>
      </c>
      <c r="DI6" s="213">
        <f>val.Sect8_1.Helicopter_civil.Prod.AIRBUS.ROW</f>
        <v>0</v>
      </c>
      <c r="DJ6" s="213">
        <f>val.Sect8_1.Helicopter_civil.Prod.AIRBUS.USCA</f>
        <v>0</v>
      </c>
      <c r="DK6" s="213">
        <f>val.Sect8_1.Helicopter_civil.Prod.nonAIRBUS.ROW</f>
        <v>0</v>
      </c>
      <c r="DL6" s="213">
        <f>val.Sect8_1.Helicopter_civil.Prod.nonAIRBUS.USCA</f>
        <v>0</v>
      </c>
      <c r="DM6" s="213">
        <f>val.Sect8_1.Helicopter_military.Prod.AIRBUS.ROW</f>
        <v>0</v>
      </c>
      <c r="DN6" s="213">
        <f>val.Sect8_1.Helicopter_military.Prod.AIRBUS.USCA</f>
        <v>0</v>
      </c>
      <c r="DO6" s="213">
        <f>val.Sect8_1.Helicopter_military.Prod.nonAIRBUS.ROW</f>
        <v>0</v>
      </c>
      <c r="DP6" s="213">
        <f>val.Sect8_1.Helicopter_military.Prod.nonAIRBUS.USCA</f>
        <v>0</v>
      </c>
      <c r="DQ6" s="213">
        <f>val.Sect8_1.Space.Prod.AIRBUS.ROW</f>
        <v>0</v>
      </c>
      <c r="DR6" s="213">
        <f>val.Sect8_1.Space.Prod.AIRBUS.USCA</f>
        <v>0</v>
      </c>
      <c r="DS6" s="213">
        <f>val.Sect8_1.Space.Prod.nonAIRBUS.ROW</f>
        <v>0</v>
      </c>
      <c r="DT6" s="213">
        <f>val.Sect8_1.Space.Prod.nonAIRBUS.USCA</f>
        <v>0</v>
      </c>
      <c r="DU6" s="213">
        <f>val.Sect8_2.Aeronautics_civil.Svcs.AIRBUS.ROW</f>
        <v>0</v>
      </c>
      <c r="DV6" s="213">
        <f>val.Sect8_2.Aeronautics_civil.Svcs.AIRBUS.USCA</f>
        <v>0</v>
      </c>
      <c r="DW6" s="213">
        <f>val.Sect8_2.Aeronautics_civil.Svcs.nonAIRBUS.ROW</f>
        <v>0</v>
      </c>
      <c r="DX6" s="213">
        <f>val.Sect8_2.Aeronautics_civil.Svcs.nonAIRBUS.USCA</f>
        <v>0</v>
      </c>
      <c r="DY6" s="213">
        <f>val.Sect8_2.Aeronautics_military.Svcs.AIRBUS.ROW</f>
        <v>0</v>
      </c>
      <c r="DZ6" s="213">
        <f>val.Sect8_2.Aeronautics_military.Svcs.AIRBUS.USCA</f>
        <v>0</v>
      </c>
      <c r="EA6" s="213">
        <f>val.Sect8_2.Aeronautics_military.Svcs.nonAIRBUS.ROW</f>
        <v>0</v>
      </c>
      <c r="EB6" s="213">
        <f>val.Sect8_2.Aeronautics_military.Svcs.nonAIRBUS.USCA</f>
        <v>0</v>
      </c>
      <c r="EC6" s="213">
        <f>val.Sect8_2.Aircraft_civil.Svcs.AIRBUS.ROW</f>
        <v>0</v>
      </c>
      <c r="ED6" s="213">
        <f>val.Sect8_2.Aircraft_civil.Svcs.AIRBUS.USCA</f>
        <v>0</v>
      </c>
      <c r="EE6" s="213">
        <f>val.Sect8_2.Aircraft_civil.Svcs.nonAIRBUS.ROW</f>
        <v>0</v>
      </c>
      <c r="EF6" s="213">
        <f>val.Sect8_2.Aircraft_civil.Svcs.nonAIRBUS.USCA</f>
        <v>0</v>
      </c>
      <c r="EG6" s="213">
        <f>val.Sect8_2.Aircraft_military.Svcs.AIRBUS.ROW</f>
        <v>0</v>
      </c>
      <c r="EH6" s="213">
        <f>val.Sect8_2.Aircraft_military.Svcs.AIRBUS.USCA</f>
        <v>0</v>
      </c>
      <c r="EI6" s="213">
        <f>val.Sect8_2.Aircraft_military.Svcs.nonAIRBUS.ROW</f>
        <v>0</v>
      </c>
      <c r="EJ6" s="213">
        <f>val.Sect8_2.Aircraft_military.Svcs.nonAIRBUS.USCA</f>
        <v>0</v>
      </c>
      <c r="EK6" s="213">
        <f>val.Sect8_2.Helicopter_civil.Svcs.AIRBUS.ROW</f>
        <v>0</v>
      </c>
      <c r="EL6" s="213">
        <f>val.Sect8_2.Helicopter_civil.Svcs.AIRBUS.USCA</f>
        <v>0</v>
      </c>
      <c r="EM6" s="213">
        <f>val.Sect8_2.Helicopter_civil.Svcs.nonAIRBUS.ROW</f>
        <v>0</v>
      </c>
      <c r="EN6" s="213">
        <f>val.Sect8_2.Helicopter_civil.Svcs.nonAIRBUS.USCA</f>
        <v>0</v>
      </c>
      <c r="EO6" s="213">
        <f>val.Sect8_2.Helicopter_military.Svcs.AIRBUS.ROW</f>
        <v>0</v>
      </c>
      <c r="EP6" s="213">
        <f>val.Sect8_2.Helicopter_military.Svcs.AIRBUS.USCA</f>
        <v>0</v>
      </c>
      <c r="EQ6" s="213">
        <f>val.Sect8_2.Helicopter_military.Svcs.nonAIRBUS.ROW</f>
        <v>0</v>
      </c>
      <c r="ER6" s="213">
        <f>val.Sect8_2.Helicopter_military.Svcs.nonAIRBUS.USCA</f>
        <v>0</v>
      </c>
      <c r="ES6" s="213">
        <f>val.Sect8_2.Space.Svcs.AIRBUS.ROW</f>
        <v>0</v>
      </c>
      <c r="ET6" s="213">
        <f>val.Sect8_2.Space.Svcs.AIRBUS.USCA</f>
        <v>0</v>
      </c>
      <c r="EU6" s="213">
        <f>val.Sect8_2.Space.Svcs.nonAIRBUS.ROW</f>
        <v>0</v>
      </c>
      <c r="EV6" s="213">
        <f>val.Sect8_2.Space.Svcs.nonAIRBUS.USCA</f>
        <v>0</v>
      </c>
      <c r="EW6" s="213">
        <f>val.Sect8_3.Aeronautics_civil.Labr.AIRBUS.ROW</f>
        <v>0</v>
      </c>
      <c r="EX6" s="213">
        <f>val.Sect8_3.Aeronautics_civil.Labr.AIRBUS.USCA</f>
        <v>0</v>
      </c>
      <c r="EY6" s="213">
        <f>val.Sect8_3.Aeronautics_civil.Labr.nonAIRBUS.ROW</f>
        <v>0</v>
      </c>
      <c r="EZ6" s="213">
        <f>val.Sect8_3.Aeronautics_civil.Labr.nonAIRBUS.USCA</f>
        <v>0</v>
      </c>
      <c r="FA6" s="213">
        <f>val.Sect8_3.Aeronautics_military.Labr.AIRBUS.ROW</f>
        <v>0</v>
      </c>
      <c r="FB6" s="213">
        <f>val.Sect8_3.Aeronautics_military.Labr.AIRBUS.USCA</f>
        <v>0</v>
      </c>
      <c r="FC6" s="213">
        <f>val.Sect8_3.Aeronautics_military.Labr.nonAIRBUS.ROW</f>
        <v>0</v>
      </c>
      <c r="FD6" s="213">
        <f>val.Sect8_3.Aeronautics_military.Labr.nonAIRBUS.USCA</f>
        <v>0</v>
      </c>
      <c r="FE6" s="213">
        <f>val.Sect8_3.Aircraft_civil.Labr.AIRBUS.ROW</f>
        <v>0</v>
      </c>
      <c r="FF6" s="213">
        <f>val.Sect8_3.Aircraft_civil.Labr.AIRBUS.USCA</f>
        <v>0</v>
      </c>
      <c r="FG6" s="213">
        <f>val.Sect8_3.Aircraft_civil.Labr.nonAIRBUS.ROW</f>
        <v>0</v>
      </c>
      <c r="FH6" s="213">
        <f>val.Sect8_3.Aircraft_civil.Labr.nonAIRBUS.USCA</f>
        <v>0</v>
      </c>
      <c r="FI6" s="213">
        <f>val.Sect8_3.Aircraft_military.Labr.AIRBUS.ROW</f>
        <v>0</v>
      </c>
      <c r="FJ6" s="213">
        <f>val.Sect8_3.Aircraft_military.Labr.AIRBUS.USCA</f>
        <v>0</v>
      </c>
      <c r="FK6" s="213">
        <f>val.Sect8_3.Aircraft_military.Labr.nonAIRBUS.ROW</f>
        <v>0</v>
      </c>
      <c r="FL6" s="213">
        <f>val.Sect8_3.Aircraft_military.Labr.nonAIRBUS.USCA</f>
        <v>0</v>
      </c>
      <c r="FM6" s="213">
        <f>val.Sect8_3.Helicopter_civil.Labr.AIRBUS.ROW</f>
        <v>0</v>
      </c>
      <c r="FN6" s="213">
        <f>val.Sect8_3.Helicopter_civil.Labr.AIRBUS.USCA</f>
        <v>0</v>
      </c>
      <c r="FO6" s="213">
        <f>val.Sect8_3.Helicopter_civil.Labr.nonAIRBUS.ROW</f>
        <v>0</v>
      </c>
      <c r="FP6" s="213">
        <f>val.Sect8_3.Helicopter_civil.Labr.nonAIRBUS.USCA</f>
        <v>0</v>
      </c>
      <c r="FQ6" s="213">
        <f>val.Sect8_3.Helicopter_military.Labr.AIRBUS.ROW</f>
        <v>0</v>
      </c>
      <c r="FR6" s="213">
        <f>val.Sect8_3.Helicopter_military.Labr.AIRBUS.USCA</f>
        <v>0</v>
      </c>
      <c r="FS6" s="213">
        <f>val.Sect8_3.Helicopter_military.Labr.nonAIRBUS.ROW</f>
        <v>0</v>
      </c>
      <c r="FT6" s="213">
        <f>val.Sect8_3.Helicopter_military.Labr.nonAIRBUS.USCA</f>
        <v>0</v>
      </c>
      <c r="FU6" s="213">
        <f>val.Sect8_3.Space.Labr.AIRBUS.ROW</f>
        <v>0</v>
      </c>
      <c r="FV6" s="213">
        <f>val.Sect8_3.Space.Labr.AIRBUS.USCA</f>
        <v>0</v>
      </c>
      <c r="FW6" s="213">
        <f>val.Sect8_3.Space.Labr.nonAIRBUS.ROW</f>
        <v>0</v>
      </c>
      <c r="FX6" s="213">
        <f>val.Sect8_3.Space.Labr.nonAIRBUS.USCA</f>
        <v>0</v>
      </c>
      <c r="FY6" s="213">
        <f>val.Sect9.ExistingLocalPolGT_USD5M.YESNO</f>
        <v>0</v>
      </c>
      <c r="FZ6" s="213">
        <f>val.Sect9_1.localpolicy1.companyname</f>
        <v>0</v>
      </c>
      <c r="GA6" s="213">
        <f>val.Sect9_1.localpolicy1.companyaddress</f>
        <v>0</v>
      </c>
      <c r="GB6" s="213">
        <f>val.Sect9_1.localpolicy1.companyemail</f>
        <v>0</v>
      </c>
      <c r="GC6" s="213">
        <f>val.Sect9_1.localpolicy1.companyextturnover</f>
        <v>0</v>
      </c>
      <c r="GD6" s="213">
        <f>val.Sect9_1.localpolicy2.companyname</f>
        <v>0</v>
      </c>
      <c r="GE6" s="213">
        <f>val.Sect9_1.localpolicy2.companyaddress</f>
        <v>0</v>
      </c>
      <c r="GF6" s="213">
        <f>val.Sect9_1.localpolicy2.companyemail</f>
        <v>0</v>
      </c>
      <c r="GG6" s="213">
        <f>val.Sect9_1.localpolicy2.companyextturnover</f>
        <v>0</v>
      </c>
      <c r="GH6" s="213">
        <f>val.Sect9_1.localpolicy3.companyname</f>
        <v>0</v>
      </c>
      <c r="GI6" s="213">
        <f>val.Sect9_1.localpolicy3.companyaddress</f>
        <v>0</v>
      </c>
      <c r="GJ6" s="213">
        <f>val.Sect9_1.localpolicy3.companyemail</f>
        <v>0</v>
      </c>
      <c r="GK6" s="213">
        <f>val.Sect9_1.localpolicy3.companyextturnover</f>
        <v>0</v>
      </c>
      <c r="GL6" s="213">
        <f>val.Sect9_1.localpolicy4.companyname</f>
        <v>0</v>
      </c>
      <c r="GM6" s="213">
        <f>val.Sect9_1.localpolicy4.companyaddress</f>
        <v>0</v>
      </c>
      <c r="GN6" s="213">
        <f>val.Sect9_1.localpolicy4.companyemail</f>
        <v>0</v>
      </c>
      <c r="GO6" s="213">
        <f>val.Sect9_1.localpolicy4.companyextturnover</f>
        <v>0</v>
      </c>
      <c r="GP6" s="213">
        <f>val.Sect9_1.localpolicy5.companyname</f>
        <v>0</v>
      </c>
      <c r="GQ6" s="213">
        <f>val.Sect9_1.localpolicy5.companyaddress</f>
        <v>0</v>
      </c>
      <c r="GR6" s="213">
        <f>val.Sect9_1.localpolicy5.companyemail</f>
        <v>0</v>
      </c>
      <c r="GS6" s="213">
        <f>val.Sect9_1.localpolicy5.companyextturnover</f>
        <v>0</v>
      </c>
      <c r="GT6" s="213">
        <f>val.Sect9_1.localpolicy6.companyname</f>
        <v>0</v>
      </c>
      <c r="GU6" s="213">
        <f>val.Sect9_1.localpolicy6.companyaddress</f>
        <v>0</v>
      </c>
      <c r="GV6" s="213">
        <f>val.Sect9_1.localpolicy6.companyemail</f>
        <v>0</v>
      </c>
      <c r="GW6" s="213">
        <f>val.Sect9_1.localpolicy6.companyextturnover</f>
        <v>0</v>
      </c>
      <c r="GX6" s="215">
        <f>val.Sect10.confirmedClaims.YESNO</f>
        <v>0</v>
      </c>
    </row>
    <row r="7" spans="1:206" x14ac:dyDescent="0.2">
      <c r="A7" s="173"/>
      <c r="B7" s="173" t="s">
        <v>278</v>
      </c>
      <c r="C7" s="173">
        <f>val.Sect2.insured.company.City</f>
        <v>0</v>
      </c>
      <c r="D7" s="173"/>
      <c r="E7" s="191" t="s">
        <v>272</v>
      </c>
      <c r="F7" s="191" t="str">
        <f>'Fragebogen # Questionnaire'!$M$9</f>
        <v>English</v>
      </c>
      <c r="G7" s="173">
        <f>'Fragebogen # Questionnaire'!$K$13</f>
        <v>0</v>
      </c>
      <c r="H7" s="173">
        <f>'Fragebogen # Questionnaire'!$H$21</f>
        <v>0</v>
      </c>
      <c r="I7" s="173">
        <f>'Fragebogen # Questionnaire'!$E$23</f>
        <v>0</v>
      </c>
      <c r="J7" s="173" t="e">
        <f>'Fragebogen # Questionnaire'!$E$24</f>
        <v>#N/A</v>
      </c>
      <c r="K7" s="173">
        <f>'Fragebogen # Questionnaire'!$E$17</f>
        <v>0</v>
      </c>
      <c r="L7" s="173">
        <f>'Fragebogen # Questionnaire'!$E$19</f>
        <v>0</v>
      </c>
      <c r="M7" s="173">
        <f>'Fragebogen # Questionnaire'!$E$21</f>
        <v>0</v>
      </c>
      <c r="N7" s="173">
        <f>'Fragebogen # Questionnaire'!$E$29</f>
        <v>0</v>
      </c>
      <c r="O7" s="173">
        <f>'Fragebogen # Questionnaire'!$M$27</f>
        <v>0</v>
      </c>
      <c r="P7" s="173">
        <f>'Fragebogen # Questionnaire'!$H$31</f>
        <v>0</v>
      </c>
      <c r="Q7" s="173">
        <f>'Fragebogen # Questionnaire'!$E$27</f>
        <v>0</v>
      </c>
      <c r="R7" s="173">
        <f>'Fragebogen # Questionnaire'!$H$27</f>
        <v>0</v>
      </c>
      <c r="S7" s="173">
        <f>'Fragebogen # Questionnaire'!$E$31</f>
        <v>0</v>
      </c>
      <c r="T7" s="173">
        <f>'Fragebogen # Questionnaire'!$M$29</f>
        <v>0</v>
      </c>
      <c r="U7" s="173">
        <f>'Fragebogen # Questionnaire'!$H$39</f>
        <v>0</v>
      </c>
      <c r="V7" s="173">
        <f>'Fragebogen # Questionnaire'!$E$41</f>
        <v>0</v>
      </c>
      <c r="W7" s="173" t="e">
        <f>'Fragebogen # Questionnaire'!$E$42</f>
        <v>#N/A</v>
      </c>
      <c r="X7" s="173">
        <f>'Fragebogen # Questionnaire'!$E$35</f>
        <v>0</v>
      </c>
      <c r="Y7" s="173">
        <f>'Fragebogen # Questionnaire'!$E$37</f>
        <v>0</v>
      </c>
      <c r="Z7" s="173">
        <f>'Fragebogen # Questionnaire'!$E$39</f>
        <v>0</v>
      </c>
      <c r="AA7" s="173">
        <f>'Fragebogen # Questionnaire'!$H$41</f>
        <v>0</v>
      </c>
      <c r="AB7" s="173">
        <f>'Fragebogen # Questionnaire'!$C$45</f>
        <v>0</v>
      </c>
      <c r="AC7" s="173">
        <f>'Fragebogen # Questionnaire'!$C$46</f>
        <v>0</v>
      </c>
      <c r="AD7" s="173">
        <f>'Fragebogen # Questionnaire'!$C$47</f>
        <v>0</v>
      </c>
      <c r="AE7" s="173">
        <f>'Fragebogen # Questionnaire'!$C$48</f>
        <v>0</v>
      </c>
      <c r="AF7" s="173">
        <f>'Fragebogen # Questionnaire'!$C$49</f>
        <v>0</v>
      </c>
      <c r="AG7" s="173">
        <f>'Fragebogen # Questionnaire'!$C$50</f>
        <v>0</v>
      </c>
      <c r="AH7" s="173">
        <f>'Fragebogen # Questionnaire'!$M$60</f>
        <v>0</v>
      </c>
      <c r="AI7" s="173">
        <f>'Fragebogen # Questionnaire'!$E$65</f>
        <v>0</v>
      </c>
      <c r="AJ7" s="173">
        <f>'Fragebogen # Questionnaire'!$K$65</f>
        <v>0</v>
      </c>
      <c r="AK7" s="173">
        <f>'Fragebogen # Questionnaire'!$C$65</f>
        <v>0</v>
      </c>
      <c r="AL7" s="173">
        <f>'Fragebogen # Questionnaire'!$E$67</f>
        <v>0</v>
      </c>
      <c r="AM7" s="173">
        <f>'Fragebogen # Questionnaire'!$K$67</f>
        <v>0</v>
      </c>
      <c r="AN7" s="173">
        <f>'Fragebogen # Questionnaire'!$C$67</f>
        <v>0</v>
      </c>
      <c r="AO7" s="173">
        <f>'Fragebogen # Questionnaire'!$E$69</f>
        <v>0</v>
      </c>
      <c r="AP7" s="173">
        <f>'Fragebogen # Questionnaire'!$K$69</f>
        <v>0</v>
      </c>
      <c r="AQ7" s="173">
        <f>'Fragebogen # Questionnaire'!$C$69</f>
        <v>0</v>
      </c>
      <c r="AR7" s="173">
        <f>'Fragebogen # Questionnaire'!$E$71</f>
        <v>0</v>
      </c>
      <c r="AS7" s="173">
        <f>'Fragebogen # Questionnaire'!$K$71</f>
        <v>0</v>
      </c>
      <c r="AT7" s="173">
        <f>'Fragebogen # Questionnaire'!$C$71</f>
        <v>0</v>
      </c>
      <c r="AU7" s="173">
        <f>'Fragebogen # Questionnaire'!$E$73</f>
        <v>0</v>
      </c>
      <c r="AV7" s="173">
        <f>'Fragebogen # Questionnaire'!$K$73</f>
        <v>0</v>
      </c>
      <c r="AW7" s="173">
        <f>'Fragebogen # Questionnaire'!$C$73</f>
        <v>0</v>
      </c>
      <c r="AX7" s="173">
        <f>'Fragebogen # Questionnaire'!$E$75</f>
        <v>0</v>
      </c>
      <c r="AY7" s="173">
        <f>'Fragebogen # Questionnaire'!$K$75</f>
        <v>0</v>
      </c>
      <c r="AZ7" s="173">
        <f>'Fragebogen # Questionnaire'!$C$75</f>
        <v>0</v>
      </c>
      <c r="BA7" s="173">
        <f>'Fragebogen # Questionnaire'!$E$77</f>
        <v>0</v>
      </c>
      <c r="BB7" s="173">
        <f>'Fragebogen # Questionnaire'!$K$77</f>
        <v>0</v>
      </c>
      <c r="BC7" s="173">
        <f>'Fragebogen # Questionnaire'!$C$77</f>
        <v>0</v>
      </c>
      <c r="BD7" s="173">
        <f>'Fragebogen # Questionnaire'!$E$79</f>
        <v>0</v>
      </c>
      <c r="BE7" s="173">
        <f>'Fragebogen # Questionnaire'!$K$79</f>
        <v>0</v>
      </c>
      <c r="BF7" s="173">
        <f>'Fragebogen # Questionnaire'!$C$79</f>
        <v>0</v>
      </c>
      <c r="BG7" s="173">
        <f>'Fragebogen # Questionnaire'!$E$81</f>
        <v>0</v>
      </c>
      <c r="BH7" s="173">
        <f>'Fragebogen # Questionnaire'!$K$81</f>
        <v>0</v>
      </c>
      <c r="BI7" s="173">
        <f>'Fragebogen # Questionnaire'!$C$81</f>
        <v>0</v>
      </c>
      <c r="BJ7" s="173">
        <f>'Fragebogen # Questionnaire'!$E$83</f>
        <v>0</v>
      </c>
      <c r="BK7" s="173">
        <f>'Fragebogen # Questionnaire'!$K$83</f>
        <v>0</v>
      </c>
      <c r="BL7" s="173">
        <f>'Fragebogen # Questionnaire'!$C$83</f>
        <v>0</v>
      </c>
      <c r="BM7" s="173">
        <f>'Fragebogen # Questionnaire'!$M$85</f>
        <v>0</v>
      </c>
      <c r="BN7" s="173">
        <f>'Fragebogen # Questionnaire'!$E$89</f>
        <v>0</v>
      </c>
      <c r="BO7" s="173">
        <f>'Fragebogen # Questionnaire'!$E$89</f>
        <v>0</v>
      </c>
      <c r="BP7" s="173">
        <f>'Fragebogen # Questionnaire'!$K$89</f>
        <v>0</v>
      </c>
      <c r="BQ7" s="173">
        <f>'Fragebogen # Questionnaire'!$M$89</f>
        <v>0</v>
      </c>
      <c r="BR7" s="173">
        <f>'Fragebogen # Questionnaire'!$E$91</f>
        <v>0</v>
      </c>
      <c r="BS7" s="173">
        <f>'Fragebogen # Questionnaire'!$E$91</f>
        <v>0</v>
      </c>
      <c r="BT7" s="173">
        <f>'Fragebogen # Questionnaire'!$K$91</f>
        <v>0</v>
      </c>
      <c r="BU7" s="173">
        <f>'Fragebogen # Questionnaire'!$M$91</f>
        <v>0</v>
      </c>
      <c r="BV7" s="173">
        <f>'Fragebogen # Questionnaire'!$E$93</f>
        <v>0</v>
      </c>
      <c r="BW7" s="173">
        <f>'Fragebogen # Questionnaire'!$C$93</f>
        <v>0</v>
      </c>
      <c r="BX7" s="173">
        <f>'Fragebogen # Questionnaire'!$K$93</f>
        <v>0</v>
      </c>
      <c r="BY7" s="173">
        <f>'Fragebogen # Questionnaire'!$M$93</f>
        <v>0</v>
      </c>
      <c r="BZ7" s="173">
        <f>'Fragebogen # Questionnaire'!$E$95</f>
        <v>0</v>
      </c>
      <c r="CA7" s="173">
        <f>'Fragebogen # Questionnaire'!$C$95</f>
        <v>0</v>
      </c>
      <c r="CB7" s="173">
        <f>'Fragebogen # Questionnaire'!$K$95</f>
        <v>0</v>
      </c>
      <c r="CC7" s="173">
        <f>'Fragebogen # Questionnaire'!$M$95</f>
        <v>0</v>
      </c>
      <c r="CD7" s="173">
        <f>'Fragebogen # Questionnaire'!$E$97</f>
        <v>0</v>
      </c>
      <c r="CE7" s="173">
        <f>'Fragebogen # Questionnaire'!$C$97</f>
        <v>0</v>
      </c>
      <c r="CF7" s="173">
        <f>'Fragebogen # Questionnaire'!$K$97</f>
        <v>0</v>
      </c>
      <c r="CG7" s="173">
        <f>'Fragebogen # Questionnaire'!$M$97</f>
        <v>0</v>
      </c>
      <c r="CH7" s="173">
        <f>'Fragebogen # Questionnaire'!$E$99</f>
        <v>0</v>
      </c>
      <c r="CI7" s="173">
        <f>'Fragebogen # Questionnaire'!$C$99</f>
        <v>0</v>
      </c>
      <c r="CJ7" s="173">
        <f>'Fragebogen # Questionnaire'!$K$99</f>
        <v>0</v>
      </c>
      <c r="CK7" s="173">
        <f>'Fragebogen # Questionnaire'!$M$99</f>
        <v>0</v>
      </c>
      <c r="CL7" s="173">
        <f>'Fragebogen # Questionnaire'!$F$123</f>
        <v>0</v>
      </c>
      <c r="CM7" s="173">
        <f>'Fragebogen # Questionnaire'!$M$120</f>
        <v>0</v>
      </c>
      <c r="CN7" s="173">
        <f>'Fragebogen # Questionnaire'!$M$117</f>
        <v>0</v>
      </c>
      <c r="CO7" s="173">
        <f>'Fragebogen # Questionnaire'!$M$113</f>
        <v>0</v>
      </c>
      <c r="CP7" s="173">
        <f>'Fragebogen # Questionnaire'!$M$110</f>
        <v>0</v>
      </c>
      <c r="CQ7" s="201">
        <f>'Fragebogen # Questionnaire'!$F$128</f>
        <v>43753</v>
      </c>
      <c r="CR7" s="173">
        <f>'Fragebogen # Questionnaire'!$K$132</f>
        <v>0</v>
      </c>
      <c r="CS7" s="173">
        <f>'Fragebogen # Questionnaire'!$E$154</f>
        <v>0</v>
      </c>
      <c r="CT7" s="173">
        <f>'Fragebogen # Questionnaire'!$F$154</f>
        <v>0</v>
      </c>
      <c r="CU7" s="173">
        <f>'Fragebogen # Questionnaire'!$H$154</f>
        <v>0</v>
      </c>
      <c r="CV7" s="173">
        <f>'Fragebogen # Questionnaire'!$I$154</f>
        <v>0</v>
      </c>
      <c r="CW7" s="173">
        <f>'Fragebogen # Questionnaire'!$E$155</f>
        <v>0</v>
      </c>
      <c r="CX7" s="173">
        <f>'Fragebogen # Questionnaire'!$F$155</f>
        <v>0</v>
      </c>
      <c r="CY7" s="173">
        <f>'Fragebogen # Questionnaire'!$H$155</f>
        <v>0</v>
      </c>
      <c r="CZ7" s="173">
        <f>'Fragebogen # Questionnaire'!$I$155</f>
        <v>0</v>
      </c>
      <c r="DA7" s="173">
        <f>'Fragebogen # Questionnaire'!$E$150</f>
        <v>0</v>
      </c>
      <c r="DB7" s="173">
        <f>'Fragebogen # Questionnaire'!$F$150</f>
        <v>0</v>
      </c>
      <c r="DC7" s="173">
        <f>'Fragebogen # Questionnaire'!$H$150</f>
        <v>0</v>
      </c>
      <c r="DD7" s="173">
        <f>'Fragebogen # Questionnaire'!$I$150</f>
        <v>0</v>
      </c>
      <c r="DE7" s="173">
        <f>'Fragebogen # Questionnaire'!$E$151</f>
        <v>0</v>
      </c>
      <c r="DF7" s="173">
        <f>'Fragebogen # Questionnaire'!$F$151</f>
        <v>0</v>
      </c>
      <c r="DG7" s="173">
        <f>'Fragebogen # Questionnaire'!$H$151</f>
        <v>0</v>
      </c>
      <c r="DH7" s="173">
        <f>'Fragebogen # Questionnaire'!$I$151</f>
        <v>0</v>
      </c>
      <c r="DI7" s="173">
        <f>'Fragebogen # Questionnaire'!$E$152</f>
        <v>0</v>
      </c>
      <c r="DJ7" s="173">
        <f>'Fragebogen # Questionnaire'!$F$152</f>
        <v>0</v>
      </c>
      <c r="DK7" s="173">
        <f>'Fragebogen # Questionnaire'!$H$152</f>
        <v>0</v>
      </c>
      <c r="DL7" s="173">
        <f>'Fragebogen # Questionnaire'!$I$152</f>
        <v>0</v>
      </c>
      <c r="DM7" s="173">
        <f>'Fragebogen # Questionnaire'!$E$153</f>
        <v>0</v>
      </c>
      <c r="DN7" s="173">
        <f>'Fragebogen # Questionnaire'!$F$153</f>
        <v>0</v>
      </c>
      <c r="DO7" s="173">
        <f>'Fragebogen # Questionnaire'!$H$153</f>
        <v>0</v>
      </c>
      <c r="DP7" s="173">
        <f>'Fragebogen # Questionnaire'!$I$153</f>
        <v>0</v>
      </c>
      <c r="DQ7" s="173">
        <f>'Fragebogen # Questionnaire'!$E$156</f>
        <v>0</v>
      </c>
      <c r="DR7" s="173">
        <f>'Fragebogen # Questionnaire'!$F$156</f>
        <v>0</v>
      </c>
      <c r="DS7" s="173">
        <f>'Fragebogen # Questionnaire'!$H$156</f>
        <v>0</v>
      </c>
      <c r="DT7" s="173">
        <f>'Fragebogen # Questionnaire'!$I$156</f>
        <v>0</v>
      </c>
      <c r="DU7" s="173">
        <f>'Fragebogen # Questionnaire'!$E$185</f>
        <v>0</v>
      </c>
      <c r="DV7" s="173">
        <f>'Fragebogen # Questionnaire'!$F$185</f>
        <v>0</v>
      </c>
      <c r="DW7" s="173">
        <f>'Fragebogen # Questionnaire'!$H$185</f>
        <v>0</v>
      </c>
      <c r="DX7" s="173">
        <f>'Fragebogen # Questionnaire'!$I$185</f>
        <v>0</v>
      </c>
      <c r="DY7" s="173">
        <f>'Fragebogen # Questionnaire'!$E$186</f>
        <v>0</v>
      </c>
      <c r="DZ7" s="173">
        <f>'Fragebogen # Questionnaire'!$F$186</f>
        <v>0</v>
      </c>
      <c r="EA7" s="173">
        <f>'Fragebogen # Questionnaire'!$H$186</f>
        <v>0</v>
      </c>
      <c r="EB7" s="173">
        <f>'Fragebogen # Questionnaire'!$I$186</f>
        <v>0</v>
      </c>
      <c r="EC7" s="173">
        <f>'Fragebogen # Questionnaire'!$E$181</f>
        <v>0</v>
      </c>
      <c r="ED7" s="173">
        <f>'Fragebogen # Questionnaire'!$F$181</f>
        <v>0</v>
      </c>
      <c r="EE7" s="173">
        <f>'Fragebogen # Questionnaire'!$H$181</f>
        <v>0</v>
      </c>
      <c r="EF7" s="173">
        <f>'Fragebogen # Questionnaire'!$I$181</f>
        <v>0</v>
      </c>
      <c r="EG7" s="173">
        <f>'Fragebogen # Questionnaire'!$E$182</f>
        <v>0</v>
      </c>
      <c r="EH7" s="173">
        <f>'Fragebogen # Questionnaire'!$F$182</f>
        <v>0</v>
      </c>
      <c r="EI7" s="173">
        <f>'Fragebogen # Questionnaire'!$H$182</f>
        <v>0</v>
      </c>
      <c r="EJ7" s="173">
        <f>'Fragebogen # Questionnaire'!$I$182</f>
        <v>0</v>
      </c>
      <c r="EK7" s="173">
        <f>'Fragebogen # Questionnaire'!$E$183</f>
        <v>0</v>
      </c>
      <c r="EL7" s="173">
        <f>'Fragebogen # Questionnaire'!$F$183</f>
        <v>0</v>
      </c>
      <c r="EM7" s="173">
        <f>'Fragebogen # Questionnaire'!$H$183</f>
        <v>0</v>
      </c>
      <c r="EN7" s="173">
        <f>'Fragebogen # Questionnaire'!$I$183</f>
        <v>0</v>
      </c>
      <c r="EO7" s="173">
        <f>'Fragebogen # Questionnaire'!$E$184</f>
        <v>0</v>
      </c>
      <c r="EP7" s="173">
        <f>'Fragebogen # Questionnaire'!$F$184</f>
        <v>0</v>
      </c>
      <c r="EQ7" s="173">
        <f>'Fragebogen # Questionnaire'!$H$184</f>
        <v>0</v>
      </c>
      <c r="ER7" s="173">
        <f>'Fragebogen # Questionnaire'!$I$184</f>
        <v>0</v>
      </c>
      <c r="ES7" s="173">
        <f>'Fragebogen # Questionnaire'!$E$187</f>
        <v>0</v>
      </c>
      <c r="ET7" s="173">
        <f>'Fragebogen # Questionnaire'!$F$187</f>
        <v>0</v>
      </c>
      <c r="EU7" s="173">
        <f>'Fragebogen # Questionnaire'!$H$187</f>
        <v>0</v>
      </c>
      <c r="EV7" s="173">
        <f>'Fragebogen # Questionnaire'!$I$187</f>
        <v>0</v>
      </c>
      <c r="EW7" s="173">
        <f>'Fragebogen # Questionnaire'!$E$216</f>
        <v>0</v>
      </c>
      <c r="EX7" s="173">
        <f>'Fragebogen # Questionnaire'!$F$216</f>
        <v>0</v>
      </c>
      <c r="EY7" s="173">
        <f>'Fragebogen # Questionnaire'!$H$216</f>
        <v>0</v>
      </c>
      <c r="EZ7" s="173">
        <f>'Fragebogen # Questionnaire'!$I$216</f>
        <v>0</v>
      </c>
      <c r="FA7" s="173">
        <f>'Fragebogen # Questionnaire'!$E$217</f>
        <v>0</v>
      </c>
      <c r="FB7" s="173">
        <f>'Fragebogen # Questionnaire'!$F$217</f>
        <v>0</v>
      </c>
      <c r="FC7" s="173">
        <f>'Fragebogen # Questionnaire'!$H$217</f>
        <v>0</v>
      </c>
      <c r="FD7" s="173">
        <f>'Fragebogen # Questionnaire'!$I$217</f>
        <v>0</v>
      </c>
      <c r="FE7" s="173">
        <f>'Fragebogen # Questionnaire'!$E$212</f>
        <v>0</v>
      </c>
      <c r="FF7" s="173">
        <f>'Fragebogen # Questionnaire'!$F$212</f>
        <v>0</v>
      </c>
      <c r="FG7" s="173">
        <f>'Fragebogen # Questionnaire'!$H$212</f>
        <v>0</v>
      </c>
      <c r="FH7" s="173">
        <f>'Fragebogen # Questionnaire'!$I$212</f>
        <v>0</v>
      </c>
      <c r="FI7" s="173">
        <f>'Fragebogen # Questionnaire'!$E$213</f>
        <v>0</v>
      </c>
      <c r="FJ7" s="173">
        <f>'Fragebogen # Questionnaire'!$F$213</f>
        <v>0</v>
      </c>
      <c r="FK7" s="173">
        <f>'Fragebogen # Questionnaire'!$H$213</f>
        <v>0</v>
      </c>
      <c r="FL7" s="173">
        <f>'Fragebogen # Questionnaire'!$I$213</f>
        <v>0</v>
      </c>
      <c r="FM7" s="173">
        <f>'Fragebogen # Questionnaire'!$E$214</f>
        <v>0</v>
      </c>
      <c r="FN7" s="173">
        <f>'Fragebogen # Questionnaire'!$F$214</f>
        <v>0</v>
      </c>
      <c r="FO7" s="173">
        <f>'Fragebogen # Questionnaire'!$H$214</f>
        <v>0</v>
      </c>
      <c r="FP7" s="173">
        <f>'Fragebogen # Questionnaire'!$I$214</f>
        <v>0</v>
      </c>
      <c r="FQ7" s="173">
        <f>'Fragebogen # Questionnaire'!$E$215</f>
        <v>0</v>
      </c>
      <c r="FR7" s="173">
        <f>'Fragebogen # Questionnaire'!$F$215</f>
        <v>0</v>
      </c>
      <c r="FS7" s="173">
        <f>'Fragebogen # Questionnaire'!$H$215</f>
        <v>0</v>
      </c>
      <c r="FT7" s="173">
        <f>'Fragebogen # Questionnaire'!$I$215</f>
        <v>0</v>
      </c>
      <c r="FU7" s="173">
        <f>'Fragebogen # Questionnaire'!$E$218</f>
        <v>0</v>
      </c>
      <c r="FV7" s="173">
        <f>'Fragebogen # Questionnaire'!$F$218</f>
        <v>0</v>
      </c>
      <c r="FW7" s="173">
        <f>'Fragebogen # Questionnaire'!$H$218</f>
        <v>0</v>
      </c>
      <c r="FX7" s="173">
        <f>'Fragebogen # Questionnaire'!$I$218</f>
        <v>0</v>
      </c>
      <c r="FY7" s="173">
        <f>'Fragebogen # Questionnaire'!$M$238</f>
        <v>0</v>
      </c>
      <c r="FZ7" s="173">
        <f>'Fragebogen # Questionnaire'!$C$244</f>
        <v>0</v>
      </c>
      <c r="GA7" s="173">
        <f>'Fragebogen # Questionnaire'!$E$244</f>
        <v>0</v>
      </c>
      <c r="GB7" s="173">
        <f>'Fragebogen # Questionnaire'!$I$244</f>
        <v>0</v>
      </c>
      <c r="GC7" s="173">
        <f>'Fragebogen # Questionnaire'!$M$244</f>
        <v>0</v>
      </c>
      <c r="GD7" s="173">
        <f>'Fragebogen # Questionnaire'!$C$246</f>
        <v>0</v>
      </c>
      <c r="GE7" s="173">
        <f>'Fragebogen # Questionnaire'!$E$246</f>
        <v>0</v>
      </c>
      <c r="GF7" s="173">
        <f>'Fragebogen # Questionnaire'!$I$246</f>
        <v>0</v>
      </c>
      <c r="GG7" s="173">
        <f>'Fragebogen # Questionnaire'!$M$246</f>
        <v>0</v>
      </c>
      <c r="GH7" s="173">
        <f>'Fragebogen # Questionnaire'!$C$248</f>
        <v>0</v>
      </c>
      <c r="GI7" s="173">
        <f>'Fragebogen # Questionnaire'!$E$248</f>
        <v>0</v>
      </c>
      <c r="GJ7" s="173">
        <f>'Fragebogen # Questionnaire'!$I$248</f>
        <v>0</v>
      </c>
      <c r="GK7" s="173">
        <f>'Fragebogen # Questionnaire'!$M$248</f>
        <v>0</v>
      </c>
      <c r="GL7" s="173">
        <f>'Fragebogen # Questionnaire'!$C$250</f>
        <v>0</v>
      </c>
      <c r="GM7" s="173">
        <f>'Fragebogen # Questionnaire'!$E$250</f>
        <v>0</v>
      </c>
      <c r="GN7" s="173">
        <f>'Fragebogen # Questionnaire'!$I$250</f>
        <v>0</v>
      </c>
      <c r="GO7" s="173">
        <f>'Fragebogen # Questionnaire'!$M$250</f>
        <v>0</v>
      </c>
      <c r="GP7" s="173">
        <f>'Fragebogen # Questionnaire'!$C$252</f>
        <v>0</v>
      </c>
      <c r="GQ7" s="173">
        <f>'Fragebogen # Questionnaire'!$E$252</f>
        <v>0</v>
      </c>
      <c r="GR7" s="173">
        <f>'Fragebogen # Questionnaire'!$I$252</f>
        <v>0</v>
      </c>
      <c r="GS7" s="173">
        <f>'Fragebogen # Questionnaire'!$M$252</f>
        <v>0</v>
      </c>
      <c r="GT7" s="173">
        <f>'Fragebogen # Questionnaire'!$C$254</f>
        <v>0</v>
      </c>
      <c r="GU7" s="173">
        <f>'Fragebogen # Questionnaire'!$E$254</f>
        <v>0</v>
      </c>
      <c r="GV7" s="173">
        <f>'Fragebogen # Questionnaire'!$I$254</f>
        <v>0</v>
      </c>
      <c r="GW7" s="173">
        <f>'Fragebogen # Questionnaire'!$M$254</f>
        <v>0</v>
      </c>
      <c r="GX7" s="173">
        <f>'Fragebogen # Questionnaire'!$M$259</f>
        <v>0</v>
      </c>
    </row>
    <row r="8" spans="1:206" x14ac:dyDescent="0.2">
      <c r="A8" s="173"/>
      <c r="B8" s="173" t="s">
        <v>279</v>
      </c>
      <c r="C8" s="173">
        <f>val.Sect2.insured.company.country</f>
        <v>0</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row>
    <row r="9" spans="1:206" x14ac:dyDescent="0.2">
      <c r="A9" s="173"/>
      <c r="B9" s="173" t="s">
        <v>280</v>
      </c>
      <c r="C9" s="173" t="e">
        <f>val.Sect2.insured.company.countryOUTPUT</f>
        <v>#N/A</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row>
    <row r="10" spans="1:206" x14ac:dyDescent="0.2">
      <c r="A10" s="173"/>
      <c r="B10" s="173" t="s">
        <v>275</v>
      </c>
      <c r="C10" s="173">
        <f>val.Sect2.insured.company.name</f>
        <v>0</v>
      </c>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CA10" s="173"/>
      <c r="CB10" s="173"/>
      <c r="CC10" s="173"/>
      <c r="CE10" s="173"/>
      <c r="CF10" s="173"/>
      <c r="CG10" s="173"/>
      <c r="CI10" s="173"/>
      <c r="CJ10" s="173"/>
      <c r="CK10" s="173"/>
      <c r="CL10" s="173"/>
      <c r="CM10" s="173"/>
    </row>
    <row r="11" spans="1:206" x14ac:dyDescent="0.2">
      <c r="A11" s="173"/>
      <c r="B11" s="173" t="s">
        <v>276</v>
      </c>
      <c r="C11" s="173">
        <f>val.Sect2.insured.company.street</f>
        <v>0</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row>
    <row r="12" spans="1:206" x14ac:dyDescent="0.2">
      <c r="A12" s="173"/>
      <c r="B12" s="173" t="s">
        <v>277</v>
      </c>
      <c r="C12" s="173">
        <f>val.Sect2.insured.company.ZIP</f>
        <v>0</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CA12" s="173"/>
      <c r="CB12" s="173"/>
      <c r="CC12" s="173"/>
      <c r="CE12" s="173"/>
      <c r="CF12" s="173"/>
      <c r="CG12" s="173"/>
      <c r="CI12" s="173"/>
      <c r="CJ12" s="173"/>
      <c r="CK12" s="173"/>
      <c r="CL12" s="173"/>
      <c r="CM12" s="173"/>
    </row>
    <row r="13" spans="1:206" x14ac:dyDescent="0.2">
      <c r="A13" s="173"/>
      <c r="B13" s="173" t="s">
        <v>352</v>
      </c>
      <c r="C13" s="173">
        <f>val.Sect2_1.insured.company.ALTname</f>
        <v>0</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row>
    <row r="14" spans="1:206" x14ac:dyDescent="0.2">
      <c r="A14" s="173"/>
      <c r="B14" s="173" t="s">
        <v>283</v>
      </c>
      <c r="C14" s="173">
        <f>val.Sect2_1.insured.company.contactgreeting</f>
        <v>0</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CA14" s="173"/>
      <c r="CB14" s="173"/>
      <c r="CC14" s="173"/>
      <c r="CE14" s="173"/>
      <c r="CF14" s="173"/>
      <c r="CG14" s="173"/>
      <c r="CI14" s="173"/>
      <c r="CJ14" s="173"/>
      <c r="CK14" s="173"/>
      <c r="CL14" s="173"/>
      <c r="CM14" s="173"/>
    </row>
    <row r="15" spans="1:206" x14ac:dyDescent="0.2">
      <c r="A15" s="173"/>
      <c r="B15" s="173" t="s">
        <v>286</v>
      </c>
      <c r="C15" s="173">
        <f>val.Sect2_1.insured.company.contactmail</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row>
    <row r="16" spans="1:206" x14ac:dyDescent="0.2">
      <c r="A16" s="173"/>
      <c r="B16" s="173" t="s">
        <v>281</v>
      </c>
      <c r="C16" s="173">
        <f>val.Sect2_1.insured.company.contactname</f>
        <v>0</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row>
    <row r="17" spans="1:97" x14ac:dyDescent="0.2">
      <c r="A17" s="173"/>
      <c r="B17" s="173" t="s">
        <v>282</v>
      </c>
      <c r="C17" s="173">
        <f>val.Sect2_1.insured.company.contactprename</f>
        <v>0</v>
      </c>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row>
    <row r="18" spans="1:97" x14ac:dyDescent="0.2">
      <c r="A18" s="173"/>
      <c r="B18" s="173" t="s">
        <v>285</v>
      </c>
      <c r="C18" s="173">
        <f>val.Sect2_1.insured.company.contacttelephone</f>
        <v>0</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row>
    <row r="19" spans="1:97" x14ac:dyDescent="0.2">
      <c r="A19" s="173"/>
      <c r="B19" s="173" t="s">
        <v>353</v>
      </c>
      <c r="C19" s="173">
        <f>val.Sect2_1.insured.company.contacttype</f>
        <v>0</v>
      </c>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row>
    <row r="20" spans="1:97" x14ac:dyDescent="0.2">
      <c r="A20" s="173"/>
      <c r="B20" s="173" t="s">
        <v>290</v>
      </c>
      <c r="C20" s="173">
        <f>val.Sect2_2.billed.company.City</f>
        <v>0</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row>
    <row r="21" spans="1:97" x14ac:dyDescent="0.2">
      <c r="A21" s="173"/>
      <c r="B21" s="173" t="s">
        <v>291</v>
      </c>
      <c r="C21" s="173">
        <f>val.Sect2_2.billed.company.country</f>
        <v>0</v>
      </c>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row>
    <row r="22" spans="1:97" x14ac:dyDescent="0.2">
      <c r="A22" s="173"/>
      <c r="B22" s="173" t="s">
        <v>292</v>
      </c>
      <c r="C22" s="173" t="e">
        <f>val.Sect2_2.billed.company.countryOUTPUT</f>
        <v>#N/A</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row>
    <row r="23" spans="1:97" x14ac:dyDescent="0.2">
      <c r="A23" s="173"/>
      <c r="B23" s="173" t="s">
        <v>287</v>
      </c>
      <c r="C23" s="173">
        <f>val.Sect2_2.billed.company.name</f>
        <v>0</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P23" s="173"/>
      <c r="CQ23" s="173"/>
      <c r="CR23" s="173"/>
      <c r="CS23" s="173"/>
    </row>
    <row r="24" spans="1:97" x14ac:dyDescent="0.2">
      <c r="A24" s="173"/>
      <c r="B24" s="173" t="s">
        <v>288</v>
      </c>
      <c r="C24" s="173">
        <f>val.Sect2_2.billed.company.street</f>
        <v>0</v>
      </c>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row>
    <row r="25" spans="1:97" x14ac:dyDescent="0.2">
      <c r="A25" s="173"/>
      <c r="B25" s="173" t="s">
        <v>289</v>
      </c>
      <c r="C25" s="173">
        <f>val.Sect2_2.billed.company.ZIP</f>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row>
    <row r="26" spans="1:97" x14ac:dyDescent="0.2">
      <c r="A26" s="173"/>
      <c r="B26" s="173" t="s">
        <v>501</v>
      </c>
      <c r="C26" s="173">
        <f>val.Sect2_2.billed.company.contactmail</f>
        <v>0</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row>
    <row r="27" spans="1:97" x14ac:dyDescent="0.2">
      <c r="A27" s="173"/>
      <c r="B27" s="173" t="s">
        <v>293</v>
      </c>
      <c r="C27" s="173">
        <f>val.Sect3.insured.company.businessactivity.1</f>
        <v>0</v>
      </c>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row>
    <row r="28" spans="1:97" x14ac:dyDescent="0.2">
      <c r="A28" s="173"/>
      <c r="B28" s="173" t="s">
        <v>294</v>
      </c>
      <c r="C28" s="173">
        <f>val.Sect3.insured.company.businessactivity.2</f>
        <v>0</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row>
    <row r="29" spans="1:97" x14ac:dyDescent="0.2">
      <c r="A29" s="173"/>
      <c r="B29" s="173" t="s">
        <v>295</v>
      </c>
      <c r="C29" s="173">
        <f>val.Sect3.insured.company.businessactivity.3</f>
        <v>0</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P29" s="173"/>
      <c r="CQ29" s="173"/>
      <c r="CR29" s="173"/>
      <c r="CS29" s="173"/>
    </row>
    <row r="30" spans="1:97" x14ac:dyDescent="0.2">
      <c r="A30" s="173"/>
      <c r="B30" s="173" t="s">
        <v>505</v>
      </c>
      <c r="C30" s="173">
        <f>val.Sect3.insured.company.businessactivity.4</f>
        <v>0</v>
      </c>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P30" s="173"/>
      <c r="CQ30" s="173"/>
      <c r="CR30" s="173"/>
      <c r="CS30" s="173"/>
    </row>
    <row r="31" spans="1:97" x14ac:dyDescent="0.2">
      <c r="A31" s="173"/>
      <c r="B31" s="173" t="s">
        <v>506</v>
      </c>
      <c r="C31" s="173">
        <f>val.Sect3.insured.company.businessactivity.5</f>
        <v>0</v>
      </c>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c r="CE31" s="173"/>
      <c r="CF31" s="173"/>
      <c r="CG31" s="173"/>
      <c r="CH31" s="173"/>
      <c r="CI31" s="173"/>
      <c r="CJ31" s="173"/>
      <c r="CK31" s="173"/>
      <c r="CL31" s="173"/>
      <c r="CM31" s="173"/>
      <c r="CN31" s="173"/>
      <c r="CP31" s="173"/>
      <c r="CQ31" s="173"/>
      <c r="CR31" s="173"/>
      <c r="CS31" s="173"/>
    </row>
    <row r="32" spans="1:97" x14ac:dyDescent="0.2">
      <c r="A32" s="173"/>
      <c r="B32" s="173" t="s">
        <v>507</v>
      </c>
      <c r="C32" s="173">
        <f>val.Sect3.insured.company.businessactivity.6</f>
        <v>0</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P32" s="173"/>
      <c r="CQ32" s="173"/>
      <c r="CR32" s="173"/>
      <c r="CS32" s="173"/>
    </row>
    <row r="33" spans="1:97" x14ac:dyDescent="0.2">
      <c r="A33" s="173"/>
      <c r="B33" s="173" t="s">
        <v>325</v>
      </c>
      <c r="C33" s="173">
        <f>val.Sect4_1.subsidiaries.YESNO</f>
        <v>0</v>
      </c>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row>
    <row r="34" spans="1:97" x14ac:dyDescent="0.2">
      <c r="A34" s="173"/>
      <c r="B34" s="173" t="s">
        <v>297</v>
      </c>
      <c r="C34" s="173">
        <f>val.Sect4_1.subsidiary1.address</f>
        <v>0</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row>
    <row r="35" spans="1:97" x14ac:dyDescent="0.2">
      <c r="A35" s="173"/>
      <c r="B35" s="173" t="s">
        <v>298</v>
      </c>
      <c r="C35" s="173">
        <f>val.Sect4_1.subsidiary1.businessactivity</f>
        <v>0</v>
      </c>
      <c r="D35" s="173"/>
      <c r="E35" s="173"/>
      <c r="F35" s="173"/>
      <c r="G35" s="169"/>
      <c r="H35" s="169"/>
      <c r="I35" s="169"/>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P35" s="173"/>
      <c r="CQ35" s="173"/>
      <c r="CR35" s="173"/>
      <c r="CS35" s="173"/>
    </row>
    <row r="36" spans="1:97" x14ac:dyDescent="0.2">
      <c r="A36" s="173"/>
      <c r="B36" s="173" t="s">
        <v>296</v>
      </c>
      <c r="C36" s="173">
        <f>val.Sect4_1.subsidiary1.companyname</f>
        <v>0</v>
      </c>
      <c r="D36" s="173"/>
      <c r="E36" s="173"/>
      <c r="F36" s="173"/>
      <c r="G36" s="169"/>
      <c r="H36" s="169"/>
      <c r="I36" s="169"/>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P36" s="173"/>
      <c r="CQ36" s="173"/>
      <c r="CR36" s="173"/>
      <c r="CS36" s="173"/>
    </row>
    <row r="37" spans="1:97" x14ac:dyDescent="0.2">
      <c r="A37" s="173"/>
      <c r="B37" s="173" t="s">
        <v>300</v>
      </c>
      <c r="C37" s="173">
        <f>val.Sect4_1.subsidiary2.address</f>
        <v>0</v>
      </c>
      <c r="D37" s="173"/>
      <c r="E37" s="173"/>
      <c r="F37" s="173"/>
      <c r="G37" s="169"/>
      <c r="H37" s="169"/>
      <c r="I37" s="169"/>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P37" s="173"/>
      <c r="CQ37" s="173"/>
      <c r="CR37" s="173"/>
      <c r="CS37" s="173"/>
    </row>
    <row r="38" spans="1:97" x14ac:dyDescent="0.2">
      <c r="A38" s="173"/>
      <c r="B38" s="173" t="s">
        <v>301</v>
      </c>
      <c r="C38" s="173">
        <f>val.Sect4_1.subsidiary2.businessactivity</f>
        <v>0</v>
      </c>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row>
    <row r="39" spans="1:97" x14ac:dyDescent="0.2">
      <c r="A39" s="173"/>
      <c r="B39" s="173" t="s">
        <v>299</v>
      </c>
      <c r="C39" s="173">
        <f>val.Sect4_1.subsidiary2.companyname</f>
        <v>0</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row>
    <row r="40" spans="1:97" x14ac:dyDescent="0.2">
      <c r="A40" s="173"/>
      <c r="B40" s="173" t="s">
        <v>303</v>
      </c>
      <c r="C40" s="173">
        <f>val.Sect4_1.subsidiary3.address</f>
        <v>0</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row>
    <row r="41" spans="1:97" x14ac:dyDescent="0.2">
      <c r="A41" s="173"/>
      <c r="B41" s="173" t="s">
        <v>304</v>
      </c>
      <c r="C41" s="173">
        <f>val.Sect4_1.subsidiary3.businessactivity</f>
        <v>0</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P41" s="173"/>
      <c r="CQ41" s="173"/>
      <c r="CR41" s="173"/>
      <c r="CS41" s="173"/>
    </row>
    <row r="42" spans="1:97" x14ac:dyDescent="0.2">
      <c r="A42" s="173"/>
      <c r="B42" s="173" t="s">
        <v>302</v>
      </c>
      <c r="C42" s="173">
        <f>val.Sect4_1.subsidiary3.companyname</f>
        <v>0</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row>
    <row r="43" spans="1:97" x14ac:dyDescent="0.2">
      <c r="A43" s="173"/>
      <c r="B43" s="173" t="s">
        <v>306</v>
      </c>
      <c r="C43" s="173">
        <f>val.Sect4_1.subsidiary4.address</f>
        <v>0</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row>
    <row r="44" spans="1:97" x14ac:dyDescent="0.2">
      <c r="A44" s="173"/>
      <c r="B44" s="173" t="s">
        <v>307</v>
      </c>
      <c r="C44" s="173">
        <f>val.Sect4_1.subsidiary4.businessactivity</f>
        <v>0</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P44" s="173"/>
      <c r="CQ44" s="173"/>
      <c r="CR44" s="173"/>
      <c r="CS44" s="173"/>
    </row>
    <row r="45" spans="1:97" x14ac:dyDescent="0.2">
      <c r="A45" s="173"/>
      <c r="B45" s="173" t="s">
        <v>305</v>
      </c>
      <c r="C45" s="173">
        <f>val.Sect4_1.subsidiary4.companyname</f>
        <v>0</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row>
    <row r="46" spans="1:97" x14ac:dyDescent="0.2">
      <c r="A46" s="173"/>
      <c r="B46" s="173" t="s">
        <v>426</v>
      </c>
      <c r="C46" s="173">
        <f>val.Sect4_1.subsidiary5.address</f>
        <v>0</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row>
    <row r="47" spans="1:97" x14ac:dyDescent="0.2">
      <c r="A47" s="173"/>
      <c r="B47" s="173" t="s">
        <v>427</v>
      </c>
      <c r="C47" s="173">
        <f>val.Sect4_1.subsidiary5.businessactivity</f>
        <v>0</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P47" s="173"/>
      <c r="CQ47" s="173"/>
      <c r="CR47" s="173"/>
      <c r="CS47" s="173"/>
    </row>
    <row r="48" spans="1:97" x14ac:dyDescent="0.2">
      <c r="A48" s="173"/>
      <c r="B48" s="173" t="s">
        <v>428</v>
      </c>
      <c r="C48" s="173">
        <f>val.Sect4_1.subsidiary5.companyname</f>
        <v>0</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row>
    <row r="49" spans="1:97" x14ac:dyDescent="0.2">
      <c r="A49" s="173"/>
      <c r="B49" s="173" t="s">
        <v>429</v>
      </c>
      <c r="C49" s="173">
        <f>val.Sect4_1.subsidiary6.address</f>
        <v>0</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row>
    <row r="50" spans="1:97" x14ac:dyDescent="0.2">
      <c r="A50" s="173"/>
      <c r="B50" s="173" t="s">
        <v>430</v>
      </c>
      <c r="C50" s="173">
        <f>val.Sect4_1.subsidiary6.businessactivity</f>
        <v>0</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P50" s="173"/>
      <c r="CQ50" s="173"/>
      <c r="CR50" s="173"/>
      <c r="CS50" s="173"/>
    </row>
    <row r="51" spans="1:97" x14ac:dyDescent="0.2">
      <c r="A51" s="173"/>
      <c r="B51" s="173" t="s">
        <v>431</v>
      </c>
      <c r="C51" s="173">
        <f>val.Sect4_1.subsidiary6.companyname</f>
        <v>0</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row>
    <row r="52" spans="1:97" x14ac:dyDescent="0.2">
      <c r="A52" s="173"/>
      <c r="B52" s="173" t="s">
        <v>432</v>
      </c>
      <c r="C52" s="173">
        <f>val.Sect4_1.subsidiary7.address</f>
        <v>0</v>
      </c>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row>
    <row r="53" spans="1:97" x14ac:dyDescent="0.2">
      <c r="A53" s="173"/>
      <c r="B53" s="173" t="s">
        <v>433</v>
      </c>
      <c r="C53" s="173">
        <f>val.Sect4_1.subsidiary7.businessactivity</f>
        <v>0</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P53" s="173"/>
      <c r="CQ53" s="173"/>
      <c r="CR53" s="173"/>
      <c r="CS53" s="173"/>
    </row>
    <row r="54" spans="1:97" x14ac:dyDescent="0.2">
      <c r="A54" s="173"/>
      <c r="B54" s="173" t="s">
        <v>434</v>
      </c>
      <c r="C54" s="173">
        <f>val.Sect4_1.subsidiary7.companyname</f>
        <v>0</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row>
    <row r="55" spans="1:97" x14ac:dyDescent="0.2">
      <c r="A55" s="173"/>
      <c r="B55" s="173" t="s">
        <v>435</v>
      </c>
      <c r="C55" s="173">
        <f>val.Sect4_1.subsidiary8.address</f>
        <v>0</v>
      </c>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row>
    <row r="56" spans="1:97" x14ac:dyDescent="0.2">
      <c r="A56" s="173"/>
      <c r="B56" s="173" t="s">
        <v>436</v>
      </c>
      <c r="C56" s="173">
        <f>val.Sect4_1.subsidiary8.businessactivity</f>
        <v>0</v>
      </c>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P56" s="173"/>
      <c r="CQ56" s="173"/>
      <c r="CR56" s="173"/>
      <c r="CS56" s="173"/>
    </row>
    <row r="57" spans="1:97" x14ac:dyDescent="0.2">
      <c r="A57" s="173"/>
      <c r="B57" s="173" t="s">
        <v>437</v>
      </c>
      <c r="C57" s="173">
        <f>val.Sect4_1.subsidiary8.companyname</f>
        <v>0</v>
      </c>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row>
    <row r="58" spans="1:97" x14ac:dyDescent="0.2">
      <c r="A58" s="173"/>
      <c r="B58" s="173" t="s">
        <v>438</v>
      </c>
      <c r="C58" s="173">
        <f>val.Sect4_1.subsidiary9.address</f>
        <v>0</v>
      </c>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row>
    <row r="59" spans="1:97" x14ac:dyDescent="0.2">
      <c r="A59" s="173"/>
      <c r="B59" s="173" t="s">
        <v>439</v>
      </c>
      <c r="C59" s="173">
        <f>val.Sect4_1.subsidiary9.businessactivity</f>
        <v>0</v>
      </c>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P59" s="173"/>
      <c r="CQ59" s="173"/>
      <c r="CR59" s="173"/>
      <c r="CS59" s="173"/>
    </row>
    <row r="60" spans="1:97" x14ac:dyDescent="0.2">
      <c r="A60" s="173"/>
      <c r="B60" s="173" t="s">
        <v>440</v>
      </c>
      <c r="C60" s="173">
        <f>val.Sect4_1.subsidiary9.companyname</f>
        <v>0</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P60" s="173"/>
      <c r="CQ60" s="173"/>
      <c r="CR60" s="173"/>
      <c r="CS60" s="173"/>
    </row>
    <row r="61" spans="1:97" x14ac:dyDescent="0.2">
      <c r="A61" s="173"/>
      <c r="B61" s="173" t="s">
        <v>441</v>
      </c>
      <c r="C61" s="173">
        <f>val.Sect4_1.subsidiary10.address</f>
        <v>0</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row>
    <row r="62" spans="1:97" x14ac:dyDescent="0.2">
      <c r="A62" s="173"/>
      <c r="B62" s="173" t="s">
        <v>442</v>
      </c>
      <c r="C62" s="173">
        <f>val.Sect4_1.subsidiary10.businessactivity</f>
        <v>0</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row>
    <row r="63" spans="1:97" x14ac:dyDescent="0.2">
      <c r="A63" s="173"/>
      <c r="B63" s="173" t="s">
        <v>443</v>
      </c>
      <c r="C63" s="173">
        <f>val.Sect4_1.subsidiary10.companyname</f>
        <v>0</v>
      </c>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row>
    <row r="64" spans="1:97" x14ac:dyDescent="0.2">
      <c r="A64" s="173"/>
      <c r="B64" s="173" t="s">
        <v>324</v>
      </c>
      <c r="C64" s="173">
        <f>val.Sect4_2.external.YESNO</f>
        <v>0</v>
      </c>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row>
    <row r="65" spans="1:97" x14ac:dyDescent="0.2">
      <c r="A65" s="173"/>
      <c r="B65" s="173" t="s">
        <v>309</v>
      </c>
      <c r="C65" s="173">
        <f>val.Sect4_2.external1.address</f>
        <v>0</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P65" s="173"/>
      <c r="CQ65" s="173"/>
      <c r="CR65" s="173"/>
      <c r="CS65" s="173"/>
    </row>
    <row r="66" spans="1:97" x14ac:dyDescent="0.2">
      <c r="A66" s="173"/>
      <c r="B66" s="173" t="s">
        <v>308</v>
      </c>
      <c r="C66" s="173">
        <f>val.Sect4_2.external1.companyname</f>
        <v>0</v>
      </c>
      <c r="D66" s="173"/>
      <c r="E66" s="173"/>
      <c r="F66" s="173"/>
      <c r="G66" s="173"/>
      <c r="H66" s="169"/>
      <c r="I66" s="169"/>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row>
    <row r="67" spans="1:97" x14ac:dyDescent="0.2">
      <c r="A67" s="173"/>
      <c r="B67" s="173" t="s">
        <v>310</v>
      </c>
      <c r="C67" s="173">
        <f>val.Sect4_2.external1.ContractOwn</f>
        <v>0</v>
      </c>
      <c r="D67" s="173"/>
      <c r="E67" s="173"/>
      <c r="F67" s="173"/>
      <c r="G67" s="173"/>
      <c r="H67" s="169"/>
      <c r="I67" s="169"/>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row>
    <row r="68" spans="1:97" x14ac:dyDescent="0.2">
      <c r="A68" s="173"/>
      <c r="B68" s="173" t="s">
        <v>311</v>
      </c>
      <c r="C68" s="173">
        <f>val.Sect4_2.external1.Revenue50plus</f>
        <v>0</v>
      </c>
      <c r="D68" s="173"/>
      <c r="E68" s="173"/>
      <c r="F68" s="173"/>
      <c r="G68" s="173"/>
      <c r="H68" s="169"/>
      <c r="I68" s="169"/>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row>
    <row r="69" spans="1:97" x14ac:dyDescent="0.2">
      <c r="A69" s="173"/>
      <c r="B69" s="173" t="s">
        <v>313</v>
      </c>
      <c r="C69" s="173">
        <f>val.Sect4_2.external2.address</f>
        <v>0</v>
      </c>
      <c r="D69" s="173"/>
      <c r="E69" s="173"/>
      <c r="F69" s="173"/>
      <c r="G69" s="173"/>
      <c r="H69" s="169"/>
      <c r="I69" s="169"/>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row>
    <row r="70" spans="1:97" x14ac:dyDescent="0.2">
      <c r="A70" s="173"/>
      <c r="B70" s="173" t="s">
        <v>312</v>
      </c>
      <c r="C70" s="173">
        <f>val.Sect4_2.external2.companyname</f>
        <v>0</v>
      </c>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row>
    <row r="71" spans="1:97" x14ac:dyDescent="0.2">
      <c r="A71" s="173"/>
      <c r="B71" s="173" t="s">
        <v>314</v>
      </c>
      <c r="C71" s="173">
        <f>val.Sect4_2.external2.ContractOwn</f>
        <v>0</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row>
    <row r="72" spans="1:97" x14ac:dyDescent="0.2">
      <c r="A72" s="173"/>
      <c r="B72" s="173" t="s">
        <v>315</v>
      </c>
      <c r="C72" s="173">
        <f>val.Sect4_2.external2.Revenue50plus</f>
        <v>0</v>
      </c>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row>
    <row r="73" spans="1:97" x14ac:dyDescent="0.2">
      <c r="A73" s="173"/>
      <c r="B73" s="173" t="s">
        <v>317</v>
      </c>
      <c r="C73" s="173">
        <f>val.Sect4_2.external3.address</f>
        <v>0</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row>
    <row r="74" spans="1:97" x14ac:dyDescent="0.2">
      <c r="A74" s="173"/>
      <c r="B74" s="173" t="s">
        <v>316</v>
      </c>
      <c r="C74" s="173">
        <f>val.Sect4_2.external3.companyname</f>
        <v>0</v>
      </c>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row>
    <row r="75" spans="1:97" x14ac:dyDescent="0.2">
      <c r="A75" s="173"/>
      <c r="B75" s="173" t="s">
        <v>318</v>
      </c>
      <c r="C75" s="173">
        <f>val.Sect4_2.external3.ContractOwn</f>
        <v>0</v>
      </c>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row>
    <row r="76" spans="1:97" x14ac:dyDescent="0.2">
      <c r="A76" s="173"/>
      <c r="B76" s="173" t="s">
        <v>319</v>
      </c>
      <c r="C76" s="173">
        <f>val.Sect4_2.external3.Revenue50plus</f>
        <v>0</v>
      </c>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row>
    <row r="77" spans="1:97" x14ac:dyDescent="0.2">
      <c r="A77" s="173"/>
      <c r="B77" s="173" t="s">
        <v>321</v>
      </c>
      <c r="C77" s="173">
        <f>val.Sect4_2.external4.address</f>
        <v>0</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row>
    <row r="78" spans="1:97" x14ac:dyDescent="0.2">
      <c r="A78" s="173"/>
      <c r="B78" s="173" t="s">
        <v>320</v>
      </c>
      <c r="C78" s="173">
        <f>val.Sect4_2.external4.companyname</f>
        <v>0</v>
      </c>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row>
    <row r="79" spans="1:97" x14ac:dyDescent="0.2">
      <c r="A79" s="173"/>
      <c r="B79" s="173" t="s">
        <v>322</v>
      </c>
      <c r="C79" s="173">
        <f>val.Sect4_2.external4.ContractOwn</f>
        <v>0</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row>
    <row r="80" spans="1:97" x14ac:dyDescent="0.2">
      <c r="A80" s="173"/>
      <c r="B80" s="173" t="s">
        <v>323</v>
      </c>
      <c r="C80" s="173">
        <f>val.Sect4_2.external4.Revenue50plus</f>
        <v>0</v>
      </c>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row>
    <row r="81" spans="1:97" x14ac:dyDescent="0.2">
      <c r="A81" s="173"/>
      <c r="B81" s="173" t="s">
        <v>514</v>
      </c>
      <c r="C81" s="173">
        <f>val.Sect4_2.external5.address</f>
        <v>0</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row>
    <row r="82" spans="1:97" x14ac:dyDescent="0.2">
      <c r="A82" s="173"/>
      <c r="B82" s="173" t="s">
        <v>513</v>
      </c>
      <c r="C82" s="173">
        <f>val.Sect4_2.external5.companyname</f>
        <v>0</v>
      </c>
      <c r="D82" s="173"/>
      <c r="E82" s="181"/>
      <c r="F82" s="181"/>
      <c r="G82" s="181"/>
      <c r="H82" s="181"/>
      <c r="I82" s="181"/>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row>
    <row r="83" spans="1:97" x14ac:dyDescent="0.2">
      <c r="A83" s="173"/>
      <c r="B83" s="173" t="s">
        <v>515</v>
      </c>
      <c r="C83" s="173">
        <f>val.Sect4_2.external5.ContractOwn</f>
        <v>0</v>
      </c>
      <c r="D83" s="173"/>
      <c r="E83" s="181"/>
      <c r="F83" s="181"/>
      <c r="G83" s="181"/>
      <c r="H83" s="181"/>
      <c r="I83" s="181"/>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row>
    <row r="84" spans="1:97" x14ac:dyDescent="0.2">
      <c r="A84" s="173"/>
      <c r="B84" s="173" t="s">
        <v>516</v>
      </c>
      <c r="C84" s="173">
        <f>val.Sect4_2.external5.Revenue50plus</f>
        <v>0</v>
      </c>
      <c r="D84" s="173"/>
      <c r="E84" s="181"/>
      <c r="F84" s="181"/>
      <c r="G84" s="181"/>
      <c r="H84" s="181"/>
      <c r="I84" s="181"/>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row>
    <row r="85" spans="1:97" x14ac:dyDescent="0.2">
      <c r="A85" s="173"/>
      <c r="B85" s="173" t="s">
        <v>518</v>
      </c>
      <c r="C85" s="173">
        <f>val.Sect4_2.external6.address</f>
        <v>0</v>
      </c>
      <c r="D85" s="173"/>
      <c r="E85" s="181"/>
      <c r="F85" s="181"/>
      <c r="G85" s="181"/>
      <c r="H85" s="181"/>
      <c r="I85" s="181"/>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173"/>
      <c r="CK85" s="173"/>
      <c r="CL85" s="173"/>
      <c r="CM85" s="173"/>
      <c r="CN85" s="173"/>
      <c r="CO85" s="173"/>
      <c r="CP85" s="173"/>
      <c r="CQ85" s="173"/>
      <c r="CR85" s="173"/>
      <c r="CS85" s="173"/>
    </row>
    <row r="86" spans="1:97" x14ac:dyDescent="0.2">
      <c r="A86" s="173"/>
      <c r="B86" s="173" t="s">
        <v>517</v>
      </c>
      <c r="C86" s="173">
        <f>val.Sect4_2.external6.companyname</f>
        <v>0</v>
      </c>
      <c r="D86" s="173"/>
      <c r="E86" s="181"/>
      <c r="F86" s="181"/>
      <c r="G86" s="181"/>
      <c r="H86" s="181"/>
      <c r="I86" s="181"/>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row>
    <row r="87" spans="1:97" x14ac:dyDescent="0.2">
      <c r="A87" s="173"/>
      <c r="B87" s="173" t="s">
        <v>519</v>
      </c>
      <c r="C87" s="173">
        <f>val.Sect4_2.external6.ContractOwn</f>
        <v>0</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row>
    <row r="88" spans="1:97" x14ac:dyDescent="0.2">
      <c r="A88" s="173"/>
      <c r="B88" s="173" t="s">
        <v>520</v>
      </c>
      <c r="C88" s="173">
        <f>val.Sect4_2.external6.Revenue50plus</f>
        <v>0</v>
      </c>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row>
    <row r="89" spans="1:97" x14ac:dyDescent="0.2">
      <c r="A89" s="173"/>
      <c r="B89" s="173" t="s">
        <v>536</v>
      </c>
      <c r="C89" s="173">
        <f>val.Sect5.CtyListOfExportsToSanctionedCty</f>
        <v>0</v>
      </c>
      <c r="D89" s="173"/>
      <c r="E89" s="169"/>
      <c r="F89" s="169"/>
      <c r="G89" s="169"/>
      <c r="H89" s="169"/>
      <c r="I89" s="169"/>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row>
    <row r="90" spans="1:97" x14ac:dyDescent="0.2">
      <c r="A90" s="173"/>
      <c r="B90" s="173" t="s">
        <v>534</v>
      </c>
      <c r="C90" s="173">
        <f>val.Sect5.ExportsToSanctionedCty.YESNO</f>
        <v>0</v>
      </c>
      <c r="D90" s="173"/>
      <c r="E90" s="169"/>
      <c r="F90" s="169"/>
      <c r="G90" s="169"/>
      <c r="H90" s="169"/>
      <c r="I90" s="169"/>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row>
    <row r="91" spans="1:97" x14ac:dyDescent="0.2">
      <c r="A91" s="173"/>
      <c r="B91" s="173" t="s">
        <v>533</v>
      </c>
      <c r="C91" s="173">
        <f>val.Sect5.RelatedToSanctionedCty.YESNO</f>
        <v>0</v>
      </c>
      <c r="D91" s="173"/>
      <c r="E91" s="169"/>
      <c r="F91" s="169"/>
      <c r="G91" s="169"/>
      <c r="H91" s="169"/>
      <c r="I91" s="169"/>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row>
    <row r="92" spans="1:97" x14ac:dyDescent="0.2">
      <c r="A92" s="173"/>
      <c r="B92" s="173" t="s">
        <v>532</v>
      </c>
      <c r="C92" s="173">
        <f>val.Sect5.RiskInSanctionedCty.YESNO</f>
        <v>0</v>
      </c>
      <c r="D92" s="173"/>
      <c r="E92" s="169"/>
      <c r="F92" s="169"/>
      <c r="G92" s="169"/>
      <c r="H92" s="169"/>
      <c r="I92" s="169"/>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row>
    <row r="93" spans="1:97" x14ac:dyDescent="0.2">
      <c r="A93" s="173"/>
      <c r="B93" s="173" t="s">
        <v>531</v>
      </c>
      <c r="C93" s="173">
        <f>val.Sect5.SeatInSanctionedCty.YESNO</f>
        <v>0</v>
      </c>
      <c r="D93" s="173"/>
      <c r="E93" s="173"/>
      <c r="F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row>
    <row r="94" spans="1:97" x14ac:dyDescent="0.2">
      <c r="A94" s="173"/>
      <c r="B94" s="173" t="s">
        <v>541</v>
      </c>
      <c r="C94" s="173">
        <f>val.Sect6.StartOfInsurance</f>
        <v>43753</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row>
    <row r="95" spans="1:97" x14ac:dyDescent="0.2">
      <c r="A95" s="173"/>
      <c r="B95" s="173" t="s">
        <v>542</v>
      </c>
      <c r="C95" s="173">
        <f>val.Sect7.LimitOfIndemnity</f>
        <v>0</v>
      </c>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row>
    <row r="96" spans="1:97" x14ac:dyDescent="0.2">
      <c r="A96" s="173"/>
      <c r="B96" s="173" t="s">
        <v>633</v>
      </c>
      <c r="C96" s="173">
        <f>val.Sect8_1.Aeronautics_civil.Prod.AIRBUS.ROW</f>
        <v>0</v>
      </c>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row>
    <row r="97" spans="1:97" x14ac:dyDescent="0.2">
      <c r="A97" s="173"/>
      <c r="B97" s="173" t="s">
        <v>634</v>
      </c>
      <c r="C97" s="173">
        <f>val.Sect8_1.Aeronautics_civil.Prod.AIRBUS.USCA</f>
        <v>0</v>
      </c>
      <c r="D97" s="173"/>
      <c r="E97" s="173"/>
      <c r="F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row>
    <row r="98" spans="1:97" x14ac:dyDescent="0.2">
      <c r="A98" s="173"/>
      <c r="B98" s="173" t="s">
        <v>635</v>
      </c>
      <c r="C98" s="173">
        <f>val.Sect8_1.Aeronautics_civil.Prod.nonAIRBUS.ROW</f>
        <v>0</v>
      </c>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3"/>
      <c r="CI98" s="173"/>
      <c r="CJ98" s="173"/>
      <c r="CK98" s="173"/>
      <c r="CL98" s="173"/>
      <c r="CM98" s="173"/>
      <c r="CN98" s="173"/>
      <c r="CO98" s="173"/>
      <c r="CP98" s="173"/>
      <c r="CQ98" s="173"/>
      <c r="CR98" s="173"/>
      <c r="CS98" s="173"/>
    </row>
    <row r="99" spans="1:97" x14ac:dyDescent="0.2">
      <c r="A99" s="173"/>
      <c r="B99" s="173" t="s">
        <v>636</v>
      </c>
      <c r="C99" s="173">
        <f>val.Sect8_1.Aeronautics_civil.Prod.nonAIRBUS.USCA</f>
        <v>0</v>
      </c>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3"/>
      <c r="CI99" s="173"/>
      <c r="CJ99" s="173"/>
      <c r="CK99" s="173"/>
      <c r="CL99" s="173"/>
      <c r="CM99" s="173"/>
      <c r="CN99" s="173"/>
      <c r="CO99" s="173"/>
      <c r="CP99" s="173"/>
      <c r="CQ99" s="173"/>
      <c r="CR99" s="173"/>
      <c r="CS99" s="173"/>
    </row>
    <row r="100" spans="1:97" x14ac:dyDescent="0.2">
      <c r="A100" s="173"/>
      <c r="B100" s="173" t="s">
        <v>553</v>
      </c>
      <c r="C100" s="173">
        <f>val.Sect8_1.Aeronautics_military.Prod.AIRBUS.ROW</f>
        <v>0</v>
      </c>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row>
    <row r="101" spans="1:97" x14ac:dyDescent="0.2">
      <c r="A101" s="173"/>
      <c r="B101" s="173" t="s">
        <v>554</v>
      </c>
      <c r="C101" s="173">
        <f>val.Sect8_1.Aeronautics_military.Prod.AIRBUS.USCA</f>
        <v>0</v>
      </c>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row>
    <row r="102" spans="1:97" x14ac:dyDescent="0.2">
      <c r="A102" s="173"/>
      <c r="B102" s="173" t="s">
        <v>555</v>
      </c>
      <c r="C102" s="173">
        <f>val.Sect8_1.Aeronautics_military.Prod.nonAIRBUS.ROW</f>
        <v>0</v>
      </c>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row>
    <row r="103" spans="1:97" x14ac:dyDescent="0.2">
      <c r="A103" s="173"/>
      <c r="B103" s="173" t="s">
        <v>556</v>
      </c>
      <c r="C103" s="173">
        <f>val.Sect8_1.Aeronautics_military.Prod.nonAIRBUS.USCA</f>
        <v>0</v>
      </c>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3"/>
      <c r="CI103" s="173"/>
      <c r="CJ103" s="173"/>
      <c r="CK103" s="173"/>
      <c r="CL103" s="173"/>
      <c r="CM103" s="173"/>
      <c r="CN103" s="173"/>
      <c r="CO103" s="173"/>
      <c r="CP103" s="173"/>
      <c r="CQ103" s="173"/>
      <c r="CR103" s="173"/>
      <c r="CS103" s="173"/>
    </row>
    <row r="104" spans="1:97" x14ac:dyDescent="0.2">
      <c r="A104" s="173"/>
      <c r="B104" s="173" t="s">
        <v>557</v>
      </c>
      <c r="C104" s="173">
        <f>val.Sect8_1.Aircraft_civil.Prod.AIRBUS.ROW</f>
        <v>0</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row>
    <row r="105" spans="1:97" x14ac:dyDescent="0.2">
      <c r="A105" s="173"/>
      <c r="B105" s="173" t="s">
        <v>558</v>
      </c>
      <c r="C105" s="173">
        <f>val.Sect8_1.Aircraft_civil.Prod.AIRBUS.USCA</f>
        <v>0</v>
      </c>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row>
    <row r="106" spans="1:97" x14ac:dyDescent="0.2">
      <c r="A106" s="173"/>
      <c r="B106" s="173" t="s">
        <v>559</v>
      </c>
      <c r="C106" s="173">
        <f>val.Sect8_1.Aircraft_civil.Prod.nonAIRBUS.ROW</f>
        <v>0</v>
      </c>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row>
    <row r="107" spans="1:97" x14ac:dyDescent="0.2">
      <c r="A107" s="173"/>
      <c r="B107" s="173" t="s">
        <v>560</v>
      </c>
      <c r="C107" s="173">
        <f>val.Sect8_1.Aircraft_civil.Prod.nonAIRBUS.USCA</f>
        <v>0</v>
      </c>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row>
    <row r="108" spans="1:97" x14ac:dyDescent="0.2">
      <c r="A108" s="173"/>
      <c r="B108" s="173" t="s">
        <v>561</v>
      </c>
      <c r="C108" s="173">
        <f>val.Sect8_1.Aircraft_military.Prod.AIRBUS.ROW</f>
        <v>0</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row>
    <row r="109" spans="1:97" x14ac:dyDescent="0.2">
      <c r="A109" s="173"/>
      <c r="B109" s="173" t="s">
        <v>562</v>
      </c>
      <c r="C109" s="173">
        <f>val.Sect8_1.Aircraft_military.Prod.AIRBUS.USCA</f>
        <v>0</v>
      </c>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3"/>
      <c r="CJ109" s="173"/>
      <c r="CK109" s="173"/>
      <c r="CL109" s="173"/>
      <c r="CM109" s="173"/>
      <c r="CN109" s="173"/>
      <c r="CO109" s="173"/>
      <c r="CP109" s="173"/>
      <c r="CQ109" s="173"/>
      <c r="CR109" s="173"/>
      <c r="CS109" s="173"/>
    </row>
    <row r="110" spans="1:97" x14ac:dyDescent="0.2">
      <c r="A110" s="173"/>
      <c r="B110" s="173" t="s">
        <v>563</v>
      </c>
      <c r="C110" s="173">
        <f>val.Sect8_1.Aircraft_military.Prod.nonAIRBUS.ROW</f>
        <v>0</v>
      </c>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row>
    <row r="111" spans="1:97" x14ac:dyDescent="0.2">
      <c r="A111" s="173"/>
      <c r="B111" s="173" t="s">
        <v>564</v>
      </c>
      <c r="C111" s="173">
        <f>val.Sect8_1.Aircraft_military.Prod.nonAIRBUS.USCA</f>
        <v>0</v>
      </c>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3"/>
      <c r="CI111" s="173"/>
      <c r="CJ111" s="173"/>
      <c r="CK111" s="173"/>
      <c r="CL111" s="173"/>
      <c r="CM111" s="173"/>
      <c r="CN111" s="173"/>
      <c r="CO111" s="173"/>
      <c r="CP111" s="173"/>
      <c r="CQ111" s="173"/>
      <c r="CR111" s="173"/>
      <c r="CS111" s="173"/>
    </row>
    <row r="112" spans="1:97" x14ac:dyDescent="0.2">
      <c r="A112" s="173"/>
      <c r="B112" s="173" t="s">
        <v>565</v>
      </c>
      <c r="C112" s="173">
        <f>val.Sect8_1.Helicopter_civil.Prod.AIRBUS.ROW</f>
        <v>0</v>
      </c>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row>
    <row r="113" spans="1:97" x14ac:dyDescent="0.2">
      <c r="A113" s="173"/>
      <c r="B113" s="173" t="s">
        <v>566</v>
      </c>
      <c r="C113" s="173">
        <f>val.Sect8_1.Helicopter_civil.Prod.AIRBUS.USCA</f>
        <v>0</v>
      </c>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row>
    <row r="114" spans="1:97" x14ac:dyDescent="0.2">
      <c r="A114" s="173"/>
      <c r="B114" s="173" t="s">
        <v>567</v>
      </c>
      <c r="C114" s="173">
        <f>val.Sect8_1.Helicopter_civil.Prod.nonAIRBUS.ROW</f>
        <v>0</v>
      </c>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row>
    <row r="115" spans="1:97" x14ac:dyDescent="0.2">
      <c r="A115" s="173"/>
      <c r="B115" s="173" t="s">
        <v>568</v>
      </c>
      <c r="C115" s="173">
        <f>val.Sect8_1.Helicopter_civil.Prod.nonAIRBUS.USCA</f>
        <v>0</v>
      </c>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row>
    <row r="116" spans="1:97" x14ac:dyDescent="0.2">
      <c r="A116" s="173"/>
      <c r="B116" s="173" t="s">
        <v>569</v>
      </c>
      <c r="C116" s="173">
        <f>val.Sect8_1.Helicopter_military.Prod.AIRBUS.ROW</f>
        <v>0</v>
      </c>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row>
    <row r="117" spans="1:97" x14ac:dyDescent="0.2">
      <c r="A117" s="173"/>
      <c r="B117" s="173" t="s">
        <v>570</v>
      </c>
      <c r="C117" s="173">
        <f>val.Sect8_1.Helicopter_military.Prod.AIRBUS.USCA</f>
        <v>0</v>
      </c>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row>
    <row r="118" spans="1:97" x14ac:dyDescent="0.2">
      <c r="A118" s="173"/>
      <c r="B118" s="173" t="s">
        <v>571</v>
      </c>
      <c r="C118" s="173">
        <f>val.Sect8_1.Helicopter_military.Prod.nonAIRBUS.ROW</f>
        <v>0</v>
      </c>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row>
    <row r="119" spans="1:97" x14ac:dyDescent="0.2">
      <c r="A119" s="173"/>
      <c r="B119" s="173" t="s">
        <v>572</v>
      </c>
      <c r="C119" s="173">
        <f>val.Sect8_1.Helicopter_military.Prod.nonAIRBUS.USCA</f>
        <v>0</v>
      </c>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row>
    <row r="120" spans="1:97" x14ac:dyDescent="0.2">
      <c r="A120" s="173"/>
      <c r="B120" s="173" t="s">
        <v>573</v>
      </c>
      <c r="C120" s="173">
        <f>val.Sect8_1.Space.Prod.AIRBUS.ROW</f>
        <v>0</v>
      </c>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row>
    <row r="121" spans="1:97" x14ac:dyDescent="0.2">
      <c r="A121" s="173"/>
      <c r="B121" s="173" t="s">
        <v>574</v>
      </c>
      <c r="C121" s="173">
        <f>val.Sect8_1.Space.Prod.AIRBUS.USCA</f>
        <v>0</v>
      </c>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row>
    <row r="122" spans="1:97" x14ac:dyDescent="0.2">
      <c r="A122" s="173"/>
      <c r="B122" s="173" t="s">
        <v>575</v>
      </c>
      <c r="C122" s="173">
        <f>val.Sect8_1.Space.Prod.nonAIRBUS.ROW</f>
        <v>0</v>
      </c>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row>
    <row r="123" spans="1:97" x14ac:dyDescent="0.2">
      <c r="A123" s="173"/>
      <c r="B123" s="173" t="s">
        <v>576</v>
      </c>
      <c r="C123" s="173">
        <f>val.Sect8_1.Space.Prod.nonAIRBUS.USCA</f>
        <v>0</v>
      </c>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row>
    <row r="124" spans="1:97" x14ac:dyDescent="0.2">
      <c r="A124" s="173"/>
      <c r="B124" s="173" t="s">
        <v>577</v>
      </c>
      <c r="C124" s="173">
        <f>val.Sect8_2.Aeronautics_civil.Svcs.AIRBUS.ROW</f>
        <v>0</v>
      </c>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row>
    <row r="125" spans="1:97" x14ac:dyDescent="0.2">
      <c r="A125" s="173"/>
      <c r="B125" s="173" t="s">
        <v>578</v>
      </c>
      <c r="C125" s="173">
        <f>val.Sect8_2.Aeronautics_civil.Svcs.AIRBUS.USCA</f>
        <v>0</v>
      </c>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row>
    <row r="126" spans="1:97" x14ac:dyDescent="0.2">
      <c r="A126" s="173"/>
      <c r="B126" s="173" t="s">
        <v>579</v>
      </c>
      <c r="C126" s="173">
        <f>val.Sect8_2.Aeronautics_civil.Svcs.nonAIRBUS.ROW</f>
        <v>0</v>
      </c>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row>
    <row r="127" spans="1:97" x14ac:dyDescent="0.2">
      <c r="A127" s="173"/>
      <c r="B127" s="173" t="s">
        <v>580</v>
      </c>
      <c r="C127" s="173">
        <f>val.Sect8_2.Aeronautics_civil.Svcs.nonAIRBUS.USCA</f>
        <v>0</v>
      </c>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c r="CP127" s="173"/>
      <c r="CQ127" s="173"/>
      <c r="CR127" s="173"/>
      <c r="CS127" s="173"/>
    </row>
    <row r="128" spans="1:97" x14ac:dyDescent="0.2">
      <c r="A128" s="173"/>
      <c r="B128" s="173" t="s">
        <v>581</v>
      </c>
      <c r="C128" s="173">
        <f>val.Sect8_2.Aeronautics_military.Svcs.AIRBUS.ROW</f>
        <v>0</v>
      </c>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c r="CP128" s="173"/>
      <c r="CQ128" s="173"/>
      <c r="CR128" s="173"/>
      <c r="CS128" s="173"/>
    </row>
    <row r="129" spans="1:97" x14ac:dyDescent="0.2">
      <c r="A129" s="173"/>
      <c r="B129" s="173" t="s">
        <v>582</v>
      </c>
      <c r="C129" s="173">
        <f>val.Sect8_2.Aeronautics_military.Svcs.AIRBUS.USCA</f>
        <v>0</v>
      </c>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row>
    <row r="130" spans="1:97" x14ac:dyDescent="0.2">
      <c r="A130" s="173"/>
      <c r="B130" s="173" t="s">
        <v>583</v>
      </c>
      <c r="C130" s="173">
        <f>val.Sect8_2.Aeronautics_military.Svcs.nonAIRBUS.ROW</f>
        <v>0</v>
      </c>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row>
    <row r="131" spans="1:97" x14ac:dyDescent="0.2">
      <c r="A131" s="173"/>
      <c r="B131" s="173" t="s">
        <v>584</v>
      </c>
      <c r="C131" s="173">
        <f>val.Sect8_2.Aeronautics_military.Svcs.nonAIRBUS.USCA</f>
        <v>0</v>
      </c>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row>
    <row r="132" spans="1:97" x14ac:dyDescent="0.2">
      <c r="A132" s="173"/>
      <c r="B132" s="173" t="s">
        <v>585</v>
      </c>
      <c r="C132" s="173">
        <f>val.Sect8_2.Aircraft_civil.Svcs.AIRBUS.ROW</f>
        <v>0</v>
      </c>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row>
    <row r="133" spans="1:97" x14ac:dyDescent="0.2">
      <c r="A133" s="173"/>
      <c r="B133" s="173" t="s">
        <v>586</v>
      </c>
      <c r="C133" s="173">
        <f>val.Sect8_2.Aircraft_civil.Svcs.AIRBUS.USCA</f>
        <v>0</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row>
    <row r="134" spans="1:97" x14ac:dyDescent="0.2">
      <c r="A134" s="173"/>
      <c r="B134" s="173" t="s">
        <v>587</v>
      </c>
      <c r="C134" s="173">
        <f>val.Sect8_2.Aircraft_civil.Svcs.nonAIRBUS.ROW</f>
        <v>0</v>
      </c>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row>
    <row r="135" spans="1:97" x14ac:dyDescent="0.2">
      <c r="A135" s="173"/>
      <c r="B135" s="173" t="s">
        <v>588</v>
      </c>
      <c r="C135" s="173">
        <f>val.Sect8_2.Aircraft_civil.Svcs.nonAIRBUS.USCA</f>
        <v>0</v>
      </c>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row>
    <row r="136" spans="1:97" x14ac:dyDescent="0.2">
      <c r="A136" s="173"/>
      <c r="B136" s="173" t="s">
        <v>589</v>
      </c>
      <c r="C136" s="173">
        <f>val.Sect8_2.Aircraft_military.Svcs.AIRBUS.ROW</f>
        <v>0</v>
      </c>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row>
    <row r="137" spans="1:97" x14ac:dyDescent="0.2">
      <c r="A137" s="173"/>
      <c r="B137" s="173" t="s">
        <v>590</v>
      </c>
      <c r="C137" s="173">
        <f>val.Sect8_2.Aircraft_military.Svcs.AIRBUS.USCA</f>
        <v>0</v>
      </c>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row>
    <row r="138" spans="1:97" x14ac:dyDescent="0.2">
      <c r="A138" s="173"/>
      <c r="B138" s="173" t="s">
        <v>591</v>
      </c>
      <c r="C138" s="173">
        <f>val.Sect8_2.Aircraft_military.Svcs.nonAIRBUS.ROW</f>
        <v>0</v>
      </c>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row>
    <row r="139" spans="1:97" x14ac:dyDescent="0.2">
      <c r="A139" s="173"/>
      <c r="B139" s="173" t="s">
        <v>592</v>
      </c>
      <c r="C139" s="173">
        <f>val.Sect8_2.Aircraft_military.Svcs.nonAIRBUS.USCA</f>
        <v>0</v>
      </c>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row>
    <row r="140" spans="1:97" x14ac:dyDescent="0.2">
      <c r="A140" s="173"/>
      <c r="B140" s="173" t="s">
        <v>593</v>
      </c>
      <c r="C140" s="173">
        <f>val.Sect8_2.Helicopter_civil.Svcs.AIRBUS.ROW</f>
        <v>0</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row>
    <row r="141" spans="1:97" x14ac:dyDescent="0.2">
      <c r="A141" s="173"/>
      <c r="B141" s="173" t="s">
        <v>594</v>
      </c>
      <c r="C141" s="173">
        <f>val.Sect8_2.Helicopter_civil.Svcs.AIRBUS.USCA</f>
        <v>0</v>
      </c>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row>
    <row r="142" spans="1:97" x14ac:dyDescent="0.2">
      <c r="A142" s="173"/>
      <c r="B142" s="173" t="s">
        <v>595</v>
      </c>
      <c r="C142" s="173">
        <f>val.Sect8_2.Helicopter_civil.Svcs.nonAIRBUS.ROW</f>
        <v>0</v>
      </c>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row>
    <row r="143" spans="1:97" x14ac:dyDescent="0.2">
      <c r="A143" s="173"/>
      <c r="B143" s="173" t="s">
        <v>596</v>
      </c>
      <c r="C143" s="173">
        <f>val.Sect8_2.Helicopter_civil.Svcs.nonAIRBUS.USCA</f>
        <v>0</v>
      </c>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row>
    <row r="144" spans="1:97" x14ac:dyDescent="0.2">
      <c r="A144" s="173"/>
      <c r="B144" s="173" t="s">
        <v>597</v>
      </c>
      <c r="C144" s="173">
        <f>val.Sect8_2.Helicopter_military.Svcs.AIRBUS.ROW</f>
        <v>0</v>
      </c>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row>
    <row r="145" spans="1:97" x14ac:dyDescent="0.2">
      <c r="A145" s="173"/>
      <c r="B145" s="173" t="s">
        <v>598</v>
      </c>
      <c r="C145" s="173">
        <f>val.Sect8_2.Helicopter_military.Svcs.AIRBUS.USCA</f>
        <v>0</v>
      </c>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row>
    <row r="146" spans="1:97" x14ac:dyDescent="0.2">
      <c r="A146" s="173"/>
      <c r="B146" s="173" t="s">
        <v>599</v>
      </c>
      <c r="C146" s="173">
        <f>val.Sect8_2.Helicopter_military.Svcs.nonAIRBUS.ROW</f>
        <v>0</v>
      </c>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row>
    <row r="147" spans="1:97" x14ac:dyDescent="0.2">
      <c r="A147" s="173"/>
      <c r="B147" s="173" t="s">
        <v>600</v>
      </c>
      <c r="C147" s="173">
        <f>val.Sect8_2.Helicopter_military.Svcs.nonAIRBUS.USCA</f>
        <v>0</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row>
    <row r="148" spans="1:97" x14ac:dyDescent="0.2">
      <c r="A148" s="173"/>
      <c r="B148" s="173" t="s">
        <v>601</v>
      </c>
      <c r="C148" s="173">
        <f>val.Sect8_2.Space.Svcs.AIRBUS.ROW</f>
        <v>0</v>
      </c>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row>
    <row r="149" spans="1:97" x14ac:dyDescent="0.2">
      <c r="A149" s="173"/>
      <c r="B149" s="173" t="s">
        <v>602</v>
      </c>
      <c r="C149" s="173">
        <f>val.Sect8_2.Space.Svcs.AIRBUS.USCA</f>
        <v>0</v>
      </c>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CM149" s="173"/>
      <c r="CN149" s="173"/>
      <c r="CO149" s="173"/>
      <c r="CP149" s="173"/>
      <c r="CQ149" s="173"/>
      <c r="CR149" s="173"/>
      <c r="CS149" s="173"/>
    </row>
    <row r="150" spans="1:97" x14ac:dyDescent="0.2">
      <c r="A150" s="173"/>
      <c r="B150" s="173" t="s">
        <v>603</v>
      </c>
      <c r="C150" s="173">
        <f>val.Sect8_2.Space.Svcs.nonAIRBUS.ROW</f>
        <v>0</v>
      </c>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row>
    <row r="151" spans="1:97" x14ac:dyDescent="0.2">
      <c r="A151" s="173"/>
      <c r="B151" s="173" t="s">
        <v>604</v>
      </c>
      <c r="C151" s="173">
        <f>val.Sect8_2.Space.Svcs.nonAIRBUS.USCA</f>
        <v>0</v>
      </c>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row>
    <row r="152" spans="1:97" x14ac:dyDescent="0.2">
      <c r="A152" s="173"/>
      <c r="B152" s="173" t="s">
        <v>605</v>
      </c>
      <c r="C152" s="173">
        <f>val.Sect8_3.Aeronautics_civil.Labr.AIRBUS.ROW</f>
        <v>0</v>
      </c>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row>
    <row r="153" spans="1:97" x14ac:dyDescent="0.2">
      <c r="A153" s="173"/>
      <c r="B153" s="173" t="s">
        <v>606</v>
      </c>
      <c r="C153" s="173">
        <f>val.Sect8_3.Aeronautics_civil.Labr.AIRBUS.USCA</f>
        <v>0</v>
      </c>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row>
    <row r="154" spans="1:97" x14ac:dyDescent="0.2">
      <c r="A154" s="173"/>
      <c r="B154" s="173" t="s">
        <v>607</v>
      </c>
      <c r="C154" s="173">
        <f>val.Sect8_3.Aeronautics_civil.Labr.nonAIRBUS.ROW</f>
        <v>0</v>
      </c>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row>
    <row r="155" spans="1:97" x14ac:dyDescent="0.2">
      <c r="A155" s="173"/>
      <c r="B155" s="173" t="s">
        <v>608</v>
      </c>
      <c r="C155" s="173">
        <f>val.Sect8_3.Aeronautics_civil.Labr.nonAIRBUS.USCA</f>
        <v>0</v>
      </c>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row>
    <row r="156" spans="1:97" x14ac:dyDescent="0.2">
      <c r="A156" s="173"/>
      <c r="B156" s="173" t="s">
        <v>609</v>
      </c>
      <c r="C156" s="173">
        <f>val.Sect8_3.Aeronautics_military.Labr.AIRBUS.ROW</f>
        <v>0</v>
      </c>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3"/>
    </row>
    <row r="157" spans="1:97" x14ac:dyDescent="0.2">
      <c r="A157" s="173"/>
      <c r="B157" s="173" t="s">
        <v>610</v>
      </c>
      <c r="C157" s="173">
        <f>val.Sect8_3.Aeronautics_military.Labr.AIRBUS.USCA</f>
        <v>0</v>
      </c>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row>
    <row r="158" spans="1:97" x14ac:dyDescent="0.2">
      <c r="A158" s="173"/>
      <c r="B158" s="173" t="s">
        <v>611</v>
      </c>
      <c r="C158" s="173">
        <f>val.Sect8_3.Aeronautics_military.Labr.nonAIRBUS.ROW</f>
        <v>0</v>
      </c>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row>
    <row r="159" spans="1:97" x14ac:dyDescent="0.2">
      <c r="A159" s="173"/>
      <c r="B159" s="173" t="s">
        <v>612</v>
      </c>
      <c r="C159" s="173">
        <f>val.Sect8_3.Aeronautics_military.Labr.nonAIRBUS.USCA</f>
        <v>0</v>
      </c>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c r="CM159" s="173"/>
      <c r="CN159" s="173"/>
      <c r="CO159" s="173"/>
      <c r="CP159" s="173"/>
      <c r="CQ159" s="173"/>
      <c r="CR159" s="173"/>
      <c r="CS159" s="173"/>
    </row>
    <row r="160" spans="1:97" x14ac:dyDescent="0.2">
      <c r="A160" s="173"/>
      <c r="B160" s="173" t="s">
        <v>613</v>
      </c>
      <c r="C160" s="173">
        <f>val.Sect8_3.Aircraft_civil.Labr.AIRBUS.ROW</f>
        <v>0</v>
      </c>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c r="CM160" s="173"/>
      <c r="CN160" s="173"/>
      <c r="CO160" s="173"/>
      <c r="CP160" s="173"/>
      <c r="CQ160" s="173"/>
      <c r="CR160" s="173"/>
      <c r="CS160" s="173"/>
    </row>
    <row r="161" spans="1:97" x14ac:dyDescent="0.2">
      <c r="A161" s="173"/>
      <c r="B161" s="173" t="s">
        <v>614</v>
      </c>
      <c r="C161" s="173">
        <f>val.Sect8_3.Aircraft_civil.Labr.AIRBUS.USCA</f>
        <v>0</v>
      </c>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row>
    <row r="162" spans="1:97" x14ac:dyDescent="0.2">
      <c r="A162" s="173"/>
      <c r="B162" s="173" t="s">
        <v>615</v>
      </c>
      <c r="C162" s="173">
        <f>val.Sect8_3.Aircraft_civil.Labr.nonAIRBUS.ROW</f>
        <v>0</v>
      </c>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c r="CM162" s="173"/>
      <c r="CN162" s="173"/>
      <c r="CO162" s="173"/>
      <c r="CP162" s="173"/>
      <c r="CQ162" s="173"/>
      <c r="CR162" s="173"/>
      <c r="CS162" s="173"/>
    </row>
    <row r="163" spans="1:97" x14ac:dyDescent="0.2">
      <c r="A163" s="173"/>
      <c r="B163" s="173" t="s">
        <v>616</v>
      </c>
      <c r="C163" s="173">
        <f>val.Sect8_3.Aircraft_civil.Labr.nonAIRBUS.USCA</f>
        <v>0</v>
      </c>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c r="CH163" s="173"/>
      <c r="CI163" s="173"/>
      <c r="CJ163" s="173"/>
      <c r="CK163" s="173"/>
      <c r="CL163" s="173"/>
      <c r="CM163" s="173"/>
      <c r="CN163" s="173"/>
      <c r="CO163" s="173"/>
      <c r="CP163" s="173"/>
      <c r="CQ163" s="173"/>
      <c r="CR163" s="173"/>
      <c r="CS163" s="173"/>
    </row>
    <row r="164" spans="1:97" x14ac:dyDescent="0.2">
      <c r="A164" s="173"/>
      <c r="B164" s="173" t="s">
        <v>617</v>
      </c>
      <c r="C164" s="173">
        <f>val.Sect8_3.Aircraft_military.Labr.AIRBUS.ROW</f>
        <v>0</v>
      </c>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c r="CH164" s="173"/>
      <c r="CI164" s="173"/>
      <c r="CJ164" s="173"/>
      <c r="CK164" s="173"/>
      <c r="CL164" s="173"/>
      <c r="CM164" s="173"/>
      <c r="CN164" s="173"/>
      <c r="CO164" s="173"/>
      <c r="CP164" s="173"/>
      <c r="CQ164" s="173"/>
      <c r="CR164" s="173"/>
      <c r="CS164" s="173"/>
    </row>
    <row r="165" spans="1:97" x14ac:dyDescent="0.2">
      <c r="A165" s="173"/>
      <c r="B165" s="173" t="s">
        <v>618</v>
      </c>
      <c r="C165" s="173">
        <f>val.Sect8_3.Aircraft_military.Labr.AIRBUS.USCA</f>
        <v>0</v>
      </c>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c r="CO165" s="173"/>
      <c r="CP165" s="173"/>
      <c r="CQ165" s="173"/>
      <c r="CR165" s="173"/>
      <c r="CS165" s="173"/>
    </row>
    <row r="166" spans="1:97" x14ac:dyDescent="0.2">
      <c r="A166" s="173"/>
      <c r="B166" s="173" t="s">
        <v>619</v>
      </c>
      <c r="C166" s="173">
        <f>val.Sect8_3.Aircraft_military.Labr.nonAIRBUS.ROW</f>
        <v>0</v>
      </c>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c r="CM166" s="173"/>
      <c r="CN166" s="173"/>
      <c r="CO166" s="173"/>
      <c r="CP166" s="173"/>
      <c r="CQ166" s="173"/>
      <c r="CR166" s="173"/>
      <c r="CS166" s="173"/>
    </row>
    <row r="167" spans="1:97" x14ac:dyDescent="0.2">
      <c r="A167" s="173"/>
      <c r="B167" s="173" t="s">
        <v>620</v>
      </c>
      <c r="C167" s="173">
        <f>val.Sect8_3.Aircraft_military.Labr.nonAIRBUS.USCA</f>
        <v>0</v>
      </c>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c r="CH167" s="173"/>
      <c r="CI167" s="173"/>
      <c r="CJ167" s="173"/>
      <c r="CK167" s="173"/>
      <c r="CL167" s="173"/>
      <c r="CM167" s="173"/>
      <c r="CN167" s="173"/>
      <c r="CO167" s="173"/>
      <c r="CP167" s="173"/>
      <c r="CQ167" s="173"/>
      <c r="CR167" s="173"/>
      <c r="CS167" s="173"/>
    </row>
    <row r="168" spans="1:97" x14ac:dyDescent="0.2">
      <c r="A168" s="173"/>
      <c r="B168" s="173" t="s">
        <v>621</v>
      </c>
      <c r="C168" s="173">
        <f>val.Sect8_3.Helicopter_civil.Labr.AIRBUS.ROW</f>
        <v>0</v>
      </c>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c r="CE168" s="173"/>
      <c r="CF168" s="173"/>
      <c r="CG168" s="173"/>
      <c r="CH168" s="173"/>
      <c r="CI168" s="173"/>
      <c r="CJ168" s="173"/>
      <c r="CK168" s="173"/>
      <c r="CL168" s="173"/>
      <c r="CM168" s="173"/>
      <c r="CN168" s="173"/>
      <c r="CO168" s="173"/>
      <c r="CP168" s="173"/>
      <c r="CQ168" s="173"/>
      <c r="CR168" s="173"/>
      <c r="CS168" s="173"/>
    </row>
    <row r="169" spans="1:97" x14ac:dyDescent="0.2">
      <c r="A169" s="173"/>
      <c r="B169" s="173" t="s">
        <v>622</v>
      </c>
      <c r="C169" s="173">
        <f>val.Sect8_3.Helicopter_civil.Labr.AIRBUS.USCA</f>
        <v>0</v>
      </c>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c r="CA169" s="173"/>
      <c r="CB169" s="173"/>
      <c r="CC169" s="173"/>
      <c r="CD169" s="173"/>
      <c r="CE169" s="173"/>
      <c r="CF169" s="173"/>
      <c r="CG169" s="173"/>
      <c r="CH169" s="173"/>
      <c r="CI169" s="173"/>
      <c r="CJ169" s="173"/>
      <c r="CK169" s="173"/>
      <c r="CL169" s="173"/>
      <c r="CM169" s="173"/>
      <c r="CN169" s="173"/>
      <c r="CO169" s="173"/>
      <c r="CP169" s="173"/>
      <c r="CQ169" s="173"/>
      <c r="CR169" s="173"/>
      <c r="CS169" s="173"/>
    </row>
    <row r="170" spans="1:97" x14ac:dyDescent="0.2">
      <c r="A170" s="173"/>
      <c r="B170" s="173" t="s">
        <v>623</v>
      </c>
      <c r="C170" s="173">
        <f>val.Sect8_3.Helicopter_civil.Labr.nonAIRBUS.ROW</f>
        <v>0</v>
      </c>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3"/>
      <c r="CB170" s="173"/>
      <c r="CC170" s="173"/>
      <c r="CD170" s="173"/>
      <c r="CE170" s="173"/>
      <c r="CF170" s="173"/>
      <c r="CG170" s="173"/>
      <c r="CH170" s="173"/>
      <c r="CI170" s="173"/>
      <c r="CJ170" s="173"/>
      <c r="CK170" s="173"/>
      <c r="CL170" s="173"/>
      <c r="CM170" s="173"/>
      <c r="CN170" s="173"/>
      <c r="CO170" s="173"/>
      <c r="CP170" s="173"/>
      <c r="CQ170" s="173"/>
      <c r="CR170" s="173"/>
      <c r="CS170" s="173"/>
    </row>
    <row r="171" spans="1:97" x14ac:dyDescent="0.2">
      <c r="A171" s="173"/>
      <c r="B171" s="173" t="s">
        <v>624</v>
      </c>
      <c r="C171" s="173">
        <f>val.Sect8_3.Helicopter_civil.Labr.nonAIRBUS.USCA</f>
        <v>0</v>
      </c>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c r="CA171" s="173"/>
      <c r="CB171" s="173"/>
      <c r="CC171" s="173"/>
      <c r="CD171" s="173"/>
      <c r="CE171" s="173"/>
      <c r="CF171" s="173"/>
      <c r="CG171" s="173"/>
      <c r="CH171" s="173"/>
      <c r="CI171" s="173"/>
      <c r="CJ171" s="173"/>
      <c r="CK171" s="173"/>
      <c r="CL171" s="173"/>
      <c r="CM171" s="173"/>
      <c r="CN171" s="173"/>
      <c r="CO171" s="173"/>
      <c r="CP171" s="173"/>
      <c r="CQ171" s="173"/>
      <c r="CR171" s="173"/>
      <c r="CS171" s="173"/>
    </row>
    <row r="172" spans="1:97" x14ac:dyDescent="0.2">
      <c r="A172" s="173"/>
      <c r="B172" s="173" t="s">
        <v>625</v>
      </c>
      <c r="C172" s="173">
        <f>val.Sect8_3.Helicopter_military.Labr.AIRBUS.ROW</f>
        <v>0</v>
      </c>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row>
    <row r="173" spans="1:97" x14ac:dyDescent="0.2">
      <c r="A173" s="173"/>
      <c r="B173" s="173" t="s">
        <v>626</v>
      </c>
      <c r="C173" s="173">
        <f>val.Sect8_3.Helicopter_military.Labr.AIRBUS.USCA</f>
        <v>0</v>
      </c>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row>
    <row r="174" spans="1:97" x14ac:dyDescent="0.2">
      <c r="A174" s="173"/>
      <c r="B174" s="173" t="s">
        <v>627</v>
      </c>
      <c r="C174" s="173">
        <f>val.Sect8_3.Helicopter_military.Labr.nonAIRBUS.ROW</f>
        <v>0</v>
      </c>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row>
    <row r="175" spans="1:97" x14ac:dyDescent="0.2">
      <c r="A175" s="173"/>
      <c r="B175" s="173" t="s">
        <v>628</v>
      </c>
      <c r="C175" s="173">
        <f>val.Sect8_3.Helicopter_military.Labr.nonAIRBUS.USCA</f>
        <v>0</v>
      </c>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row>
    <row r="176" spans="1:97" x14ac:dyDescent="0.2">
      <c r="A176" s="173"/>
      <c r="B176" s="173" t="s">
        <v>629</v>
      </c>
      <c r="C176" s="173">
        <f>val.Sect8_3.Space.Labr.AIRBUS.ROW</f>
        <v>0</v>
      </c>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row>
    <row r="177" spans="1:97" x14ac:dyDescent="0.2">
      <c r="A177" s="173"/>
      <c r="B177" s="173" t="s">
        <v>630</v>
      </c>
      <c r="C177" s="173">
        <f>val.Sect8_3.Space.Labr.AIRBUS.USCA</f>
        <v>0</v>
      </c>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row>
    <row r="178" spans="1:97" x14ac:dyDescent="0.2">
      <c r="A178" s="173"/>
      <c r="B178" s="173" t="s">
        <v>631</v>
      </c>
      <c r="C178" s="173">
        <f>val.Sect8_3.Space.Labr.nonAIRBUS.ROW</f>
        <v>0</v>
      </c>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c r="CA178" s="173"/>
      <c r="CB178" s="173"/>
      <c r="CC178" s="173"/>
      <c r="CD178" s="173"/>
      <c r="CE178" s="173"/>
      <c r="CF178" s="173"/>
      <c r="CG178" s="173"/>
      <c r="CH178" s="173"/>
      <c r="CI178" s="173"/>
      <c r="CJ178" s="173"/>
      <c r="CK178" s="173"/>
      <c r="CL178" s="173"/>
      <c r="CM178" s="173"/>
      <c r="CN178" s="173"/>
      <c r="CO178" s="173"/>
      <c r="CP178" s="173"/>
      <c r="CQ178" s="173"/>
      <c r="CR178" s="173"/>
      <c r="CS178" s="173"/>
    </row>
    <row r="179" spans="1:97" x14ac:dyDescent="0.2">
      <c r="A179" s="173"/>
      <c r="B179" s="173" t="s">
        <v>632</v>
      </c>
      <c r="C179" s="173">
        <f>val.Sect8_3.Space.Labr.nonAIRBUS.USCA</f>
        <v>0</v>
      </c>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c r="CA179" s="173"/>
      <c r="CB179" s="173"/>
      <c r="CC179" s="173"/>
      <c r="CD179" s="173"/>
      <c r="CE179" s="173"/>
      <c r="CF179" s="173"/>
      <c r="CG179" s="173"/>
      <c r="CH179" s="173"/>
      <c r="CI179" s="173"/>
      <c r="CJ179" s="173"/>
      <c r="CK179" s="173"/>
      <c r="CL179" s="173"/>
      <c r="CM179" s="173"/>
      <c r="CN179" s="173"/>
      <c r="CO179" s="173"/>
      <c r="CP179" s="173"/>
      <c r="CQ179" s="173"/>
      <c r="CR179" s="173"/>
      <c r="CS179" s="173"/>
    </row>
    <row r="180" spans="1:97" x14ac:dyDescent="0.2">
      <c r="A180" s="173"/>
      <c r="B180" s="173" t="s">
        <v>702</v>
      </c>
      <c r="C180" s="173">
        <f>val.Sect9.ExistingLocalPolGT_USD5M.YESNO</f>
        <v>0</v>
      </c>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c r="CA180" s="173"/>
      <c r="CB180" s="173"/>
      <c r="CC180" s="173"/>
      <c r="CD180" s="173"/>
      <c r="CE180" s="173"/>
      <c r="CF180" s="173"/>
      <c r="CG180" s="173"/>
      <c r="CH180" s="173"/>
      <c r="CI180" s="173"/>
      <c r="CJ180" s="173"/>
      <c r="CK180" s="173"/>
      <c r="CL180" s="173"/>
      <c r="CM180" s="173"/>
      <c r="CN180" s="173"/>
      <c r="CO180" s="173"/>
      <c r="CP180" s="173"/>
      <c r="CQ180" s="173"/>
      <c r="CR180" s="173"/>
      <c r="CS180" s="173"/>
    </row>
    <row r="181" spans="1:97" x14ac:dyDescent="0.2">
      <c r="A181" s="173"/>
      <c r="B181" s="173" t="s">
        <v>686</v>
      </c>
      <c r="C181" s="173">
        <f>val.Sect9_1.localpolicy1.companyname</f>
        <v>0</v>
      </c>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row>
    <row r="182" spans="1:97" x14ac:dyDescent="0.2">
      <c r="A182" s="173"/>
      <c r="B182" s="173" t="s">
        <v>690</v>
      </c>
      <c r="C182" s="173">
        <f>val.Sect9_1.localpolicy1.companyaddress</f>
        <v>0</v>
      </c>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row>
    <row r="183" spans="1:97" x14ac:dyDescent="0.2">
      <c r="A183" s="173"/>
      <c r="B183" s="173" t="s">
        <v>694</v>
      </c>
      <c r="C183" s="173">
        <f>val.Sect9_1.localpolicy1.companyemail</f>
        <v>0</v>
      </c>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c r="CE183" s="173"/>
      <c r="CF183" s="173"/>
      <c r="CG183" s="173"/>
      <c r="CH183" s="173"/>
      <c r="CI183" s="173"/>
      <c r="CJ183" s="173"/>
      <c r="CK183" s="173"/>
      <c r="CL183" s="173"/>
      <c r="CM183" s="173"/>
      <c r="CN183" s="173"/>
      <c r="CO183" s="173"/>
      <c r="CP183" s="173"/>
      <c r="CQ183" s="173"/>
      <c r="CR183" s="173"/>
      <c r="CS183" s="173"/>
    </row>
    <row r="184" spans="1:97" x14ac:dyDescent="0.2">
      <c r="A184" s="173"/>
      <c r="B184" s="173" t="s">
        <v>698</v>
      </c>
      <c r="C184" s="173">
        <f>val.Sect9_1.localpolicy1.companyextturnover</f>
        <v>0</v>
      </c>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c r="CE184" s="173"/>
      <c r="CF184" s="173"/>
      <c r="CG184" s="173"/>
      <c r="CH184" s="173"/>
      <c r="CI184" s="173"/>
      <c r="CJ184" s="173"/>
      <c r="CK184" s="173"/>
      <c r="CL184" s="173"/>
      <c r="CM184" s="173"/>
      <c r="CN184" s="173"/>
      <c r="CO184" s="173"/>
      <c r="CP184" s="173"/>
      <c r="CQ184" s="173"/>
      <c r="CR184" s="173"/>
      <c r="CS184" s="173"/>
    </row>
    <row r="185" spans="1:97" x14ac:dyDescent="0.2">
      <c r="A185" s="173"/>
      <c r="B185" s="173" t="s">
        <v>687</v>
      </c>
      <c r="C185" s="173">
        <f>val.Sect9_1.localpolicy2.companyname</f>
        <v>0</v>
      </c>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c r="CE185" s="173"/>
      <c r="CF185" s="173"/>
      <c r="CG185" s="173"/>
      <c r="CH185" s="173"/>
      <c r="CI185" s="173"/>
      <c r="CJ185" s="173"/>
      <c r="CK185" s="173"/>
      <c r="CL185" s="173"/>
      <c r="CM185" s="173"/>
      <c r="CN185" s="173"/>
      <c r="CO185" s="173"/>
      <c r="CP185" s="173"/>
      <c r="CQ185" s="173"/>
      <c r="CR185" s="173"/>
      <c r="CS185" s="173"/>
    </row>
    <row r="186" spans="1:97" x14ac:dyDescent="0.2">
      <c r="A186" s="173"/>
      <c r="B186" s="173" t="s">
        <v>691</v>
      </c>
      <c r="C186" s="173">
        <f>val.Sect9_1.localpolicy2.companyaddress</f>
        <v>0</v>
      </c>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c r="CE186" s="173"/>
      <c r="CF186" s="173"/>
      <c r="CG186" s="173"/>
      <c r="CH186" s="173"/>
      <c r="CI186" s="173"/>
      <c r="CJ186" s="173"/>
      <c r="CK186" s="173"/>
      <c r="CL186" s="173"/>
      <c r="CM186" s="173"/>
      <c r="CN186" s="173"/>
      <c r="CO186" s="173"/>
      <c r="CP186" s="173"/>
      <c r="CQ186" s="173"/>
      <c r="CR186" s="173"/>
      <c r="CS186" s="173"/>
    </row>
    <row r="187" spans="1:97" x14ac:dyDescent="0.2">
      <c r="A187" s="173"/>
      <c r="B187" s="173" t="s">
        <v>695</v>
      </c>
      <c r="C187" s="173">
        <f>val.Sect9_1.localpolicy2.companyemail</f>
        <v>0</v>
      </c>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c r="CE187" s="173"/>
      <c r="CF187" s="173"/>
      <c r="CG187" s="173"/>
      <c r="CH187" s="173"/>
      <c r="CI187" s="173"/>
      <c r="CJ187" s="173"/>
      <c r="CK187" s="173"/>
      <c r="CL187" s="173"/>
      <c r="CM187" s="173"/>
      <c r="CN187" s="173"/>
      <c r="CO187" s="173"/>
      <c r="CP187" s="173"/>
      <c r="CQ187" s="173"/>
      <c r="CR187" s="173"/>
      <c r="CS187" s="173"/>
    </row>
    <row r="188" spans="1:97" x14ac:dyDescent="0.2">
      <c r="A188" s="173"/>
      <c r="B188" s="173" t="s">
        <v>699</v>
      </c>
      <c r="C188" s="173">
        <f>val.Sect9_1.localpolicy2.companyextturnover</f>
        <v>0</v>
      </c>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row>
    <row r="189" spans="1:97" x14ac:dyDescent="0.2">
      <c r="A189" s="173"/>
      <c r="B189" s="173" t="s">
        <v>688</v>
      </c>
      <c r="C189" s="173">
        <f>val.Sect9_1.localpolicy3.companyname</f>
        <v>0</v>
      </c>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c r="CM189" s="173"/>
      <c r="CN189" s="173"/>
      <c r="CO189" s="173"/>
      <c r="CP189" s="173"/>
      <c r="CQ189" s="173"/>
      <c r="CR189" s="173"/>
      <c r="CS189" s="173"/>
    </row>
    <row r="190" spans="1:97" x14ac:dyDescent="0.2">
      <c r="A190" s="173"/>
      <c r="B190" t="s">
        <v>692</v>
      </c>
      <c r="C190" s="173">
        <f>val.Sect9_1.localpolicy3.companyaddress</f>
        <v>0</v>
      </c>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c r="CE190" s="173"/>
      <c r="CF190" s="173"/>
      <c r="CG190" s="173"/>
      <c r="CH190" s="173"/>
      <c r="CI190" s="173"/>
      <c r="CJ190" s="173"/>
      <c r="CK190" s="173"/>
      <c r="CL190" s="173"/>
      <c r="CM190" s="173"/>
      <c r="CN190" s="173"/>
      <c r="CO190" s="173"/>
      <c r="CP190" s="173"/>
      <c r="CQ190" s="173"/>
      <c r="CR190" s="173"/>
      <c r="CS190" s="173"/>
    </row>
    <row r="191" spans="1:97" x14ac:dyDescent="0.2">
      <c r="A191" s="173"/>
      <c r="B191" t="s">
        <v>696</v>
      </c>
      <c r="C191" s="173">
        <f>val.Sect9_1.localpolicy3.companyemail</f>
        <v>0</v>
      </c>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BW191" s="173"/>
      <c r="BX191" s="173"/>
      <c r="BY191" s="173"/>
      <c r="BZ191" s="173"/>
      <c r="CA191" s="173"/>
      <c r="CB191" s="173"/>
      <c r="CC191" s="173"/>
      <c r="CD191" s="173"/>
      <c r="CE191" s="173"/>
      <c r="CF191" s="173"/>
      <c r="CG191" s="173"/>
      <c r="CH191" s="173"/>
      <c r="CI191" s="173"/>
      <c r="CJ191" s="173"/>
      <c r="CK191" s="173"/>
      <c r="CL191" s="173"/>
      <c r="CM191" s="173"/>
      <c r="CN191" s="173"/>
      <c r="CO191" s="173"/>
      <c r="CP191" s="173"/>
      <c r="CQ191" s="173"/>
      <c r="CR191" s="173"/>
      <c r="CS191" s="173"/>
    </row>
    <row r="192" spans="1:97" x14ac:dyDescent="0.2">
      <c r="B192" t="s">
        <v>700</v>
      </c>
      <c r="C192" s="173">
        <f>val.Sect9_1.localpolicy3.companyextturnover</f>
        <v>0</v>
      </c>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BW192" s="173"/>
      <c r="BX192" s="173"/>
      <c r="BY192" s="173"/>
      <c r="BZ192" s="173"/>
      <c r="CA192" s="173"/>
      <c r="CB192" s="173"/>
      <c r="CC192" s="173"/>
      <c r="CD192" s="173"/>
      <c r="CE192" s="173"/>
      <c r="CF192" s="173"/>
      <c r="CG192" s="173"/>
      <c r="CH192" s="173"/>
      <c r="CI192" s="173"/>
      <c r="CJ192" s="173"/>
      <c r="CK192" s="173"/>
      <c r="CL192" s="173"/>
      <c r="CM192" s="173"/>
      <c r="CN192" s="173"/>
      <c r="CO192" s="173"/>
      <c r="CP192" s="173"/>
      <c r="CQ192" s="173"/>
      <c r="CR192" s="173"/>
      <c r="CS192" s="173"/>
    </row>
    <row r="193" spans="2:97" x14ac:dyDescent="0.2">
      <c r="B193" t="s">
        <v>689</v>
      </c>
      <c r="C193" s="173">
        <f>val.Sect9_1.localpolicy4.companyname</f>
        <v>0</v>
      </c>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BW193" s="173"/>
      <c r="BX193" s="173"/>
      <c r="BY193" s="173"/>
      <c r="BZ193" s="173"/>
      <c r="CA193" s="173"/>
      <c r="CB193" s="173"/>
      <c r="CC193" s="173"/>
      <c r="CD193" s="173"/>
      <c r="CE193" s="173"/>
      <c r="CF193" s="173"/>
      <c r="CG193" s="173"/>
      <c r="CH193" s="173"/>
      <c r="CI193" s="173"/>
      <c r="CJ193" s="173"/>
      <c r="CK193" s="173"/>
      <c r="CL193" s="173"/>
      <c r="CM193" s="173"/>
      <c r="CN193" s="173"/>
      <c r="CO193" s="173"/>
      <c r="CP193" s="173"/>
      <c r="CQ193" s="173"/>
      <c r="CR193" s="173"/>
      <c r="CS193" s="173"/>
    </row>
    <row r="194" spans="2:97" x14ac:dyDescent="0.2">
      <c r="B194" t="s">
        <v>693</v>
      </c>
      <c r="C194" s="173">
        <f>val.Sect9_1.localpolicy4.companyaddress</f>
        <v>0</v>
      </c>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BW194" s="173"/>
      <c r="BX194" s="173"/>
      <c r="BY194" s="173"/>
      <c r="BZ194" s="173"/>
      <c r="CA194" s="173"/>
      <c r="CB194" s="173"/>
      <c r="CC194" s="173"/>
      <c r="CD194" s="173"/>
      <c r="CE194" s="173"/>
      <c r="CF194" s="173"/>
      <c r="CG194" s="173"/>
      <c r="CH194" s="173"/>
      <c r="CI194" s="173"/>
      <c r="CJ194" s="173"/>
      <c r="CK194" s="173"/>
      <c r="CL194" s="173"/>
      <c r="CM194" s="173"/>
      <c r="CN194" s="173"/>
      <c r="CO194" s="173"/>
      <c r="CP194" s="173"/>
      <c r="CQ194" s="173"/>
      <c r="CR194" s="173"/>
      <c r="CS194" s="173"/>
    </row>
    <row r="195" spans="2:97" x14ac:dyDescent="0.2">
      <c r="B195" t="s">
        <v>697</v>
      </c>
      <c r="C195" s="173">
        <f>val.Sect9_1.localpolicy4.companyemail</f>
        <v>0</v>
      </c>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c r="CA195" s="173"/>
      <c r="CB195" s="173"/>
      <c r="CC195" s="173"/>
      <c r="CD195" s="173"/>
      <c r="CE195" s="173"/>
      <c r="CF195" s="173"/>
      <c r="CG195" s="173"/>
      <c r="CH195" s="173"/>
      <c r="CI195" s="173"/>
      <c r="CJ195" s="173"/>
      <c r="CK195" s="173"/>
      <c r="CL195" s="173"/>
      <c r="CM195" s="173"/>
      <c r="CN195" s="173"/>
      <c r="CO195" s="173"/>
      <c r="CP195" s="173"/>
      <c r="CQ195" s="173"/>
      <c r="CR195" s="173"/>
      <c r="CS195" s="173"/>
    </row>
    <row r="196" spans="2:97" x14ac:dyDescent="0.2">
      <c r="B196" t="s">
        <v>701</v>
      </c>
      <c r="C196" s="173">
        <f>val.Sect9_1.localpolicy4.companyextturnover</f>
        <v>0</v>
      </c>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c r="CA196" s="173"/>
      <c r="CB196" s="173"/>
      <c r="CC196" s="173"/>
      <c r="CD196" s="173"/>
      <c r="CE196" s="173"/>
      <c r="CF196" s="173"/>
      <c r="CG196" s="173"/>
      <c r="CH196" s="173"/>
      <c r="CI196" s="173"/>
      <c r="CJ196" s="173"/>
      <c r="CK196" s="173"/>
      <c r="CL196" s="173"/>
      <c r="CM196" s="173"/>
      <c r="CN196" s="173"/>
      <c r="CO196" s="173"/>
      <c r="CP196" s="173"/>
      <c r="CQ196" s="173"/>
      <c r="CR196" s="173"/>
      <c r="CS196" s="173"/>
    </row>
    <row r="197" spans="2:97" x14ac:dyDescent="0.2">
      <c r="B197" t="s">
        <v>703</v>
      </c>
      <c r="C197" s="173">
        <f>val.Sect9_1.localpolicy5.companyname</f>
        <v>0</v>
      </c>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c r="CE197" s="173"/>
      <c r="CF197" s="173"/>
      <c r="CG197" s="173"/>
      <c r="CH197" s="173"/>
      <c r="CI197" s="173"/>
      <c r="CJ197" s="173"/>
      <c r="CK197" s="173"/>
      <c r="CL197" s="173"/>
      <c r="CM197" s="173"/>
      <c r="CN197" s="173"/>
      <c r="CO197" s="173"/>
      <c r="CP197" s="173"/>
      <c r="CQ197" s="173"/>
      <c r="CR197" s="173"/>
      <c r="CS197" s="173"/>
    </row>
    <row r="198" spans="2:97" x14ac:dyDescent="0.2">
      <c r="B198" t="s">
        <v>704</v>
      </c>
      <c r="C198" s="173">
        <f>val.Sect9_1.localpolicy5.companyaddress</f>
        <v>0</v>
      </c>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c r="CA198" s="173"/>
      <c r="CB198" s="173"/>
      <c r="CC198" s="173"/>
      <c r="CD198" s="173"/>
      <c r="CE198" s="173"/>
      <c r="CF198" s="173"/>
      <c r="CG198" s="173"/>
      <c r="CH198" s="173"/>
      <c r="CI198" s="173"/>
      <c r="CJ198" s="173"/>
      <c r="CK198" s="173"/>
      <c r="CL198" s="173"/>
      <c r="CM198" s="173"/>
      <c r="CN198" s="173"/>
      <c r="CO198" s="173"/>
      <c r="CP198" s="173"/>
      <c r="CQ198" s="173"/>
      <c r="CR198" s="173"/>
      <c r="CS198" s="173"/>
    </row>
    <row r="199" spans="2:97" x14ac:dyDescent="0.2">
      <c r="B199" t="s">
        <v>705</v>
      </c>
      <c r="C199" s="173">
        <f>val.Sect9_1.localpolicy5.companyemail</f>
        <v>0</v>
      </c>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c r="CA199" s="173"/>
      <c r="CB199" s="173"/>
      <c r="CC199" s="173"/>
      <c r="CD199" s="173"/>
      <c r="CE199" s="173"/>
      <c r="CF199" s="173"/>
      <c r="CG199" s="173"/>
      <c r="CH199" s="173"/>
      <c r="CI199" s="173"/>
      <c r="CJ199" s="173"/>
      <c r="CK199" s="173"/>
      <c r="CL199" s="173"/>
      <c r="CM199" s="173"/>
      <c r="CN199" s="173"/>
      <c r="CO199" s="173"/>
      <c r="CP199" s="173"/>
      <c r="CQ199" s="173"/>
      <c r="CR199" s="173"/>
      <c r="CS199" s="173"/>
    </row>
    <row r="200" spans="2:97" x14ac:dyDescent="0.2">
      <c r="B200" t="s">
        <v>706</v>
      </c>
      <c r="C200" s="173">
        <f>val.Sect9_1.localpolicy5.companyextturnover</f>
        <v>0</v>
      </c>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row>
    <row r="201" spans="2:97" x14ac:dyDescent="0.2">
      <c r="B201" t="s">
        <v>707</v>
      </c>
      <c r="C201" s="173">
        <f>val.Sect9_1.localpolicy6.companyname</f>
        <v>0</v>
      </c>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173"/>
      <c r="CR201" s="173"/>
      <c r="CS201" s="173"/>
    </row>
    <row r="202" spans="2:97" x14ac:dyDescent="0.2">
      <c r="B202" t="s">
        <v>708</v>
      </c>
      <c r="C202" s="173">
        <f>val.Sect9_1.localpolicy6.companyaddress</f>
        <v>0</v>
      </c>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BW202" s="173"/>
      <c r="BX202" s="173"/>
      <c r="BY202" s="173"/>
      <c r="BZ202" s="173"/>
      <c r="CA202" s="173"/>
      <c r="CB202" s="173"/>
      <c r="CC202" s="173"/>
      <c r="CD202" s="173"/>
      <c r="CE202" s="173"/>
      <c r="CF202" s="173"/>
      <c r="CG202" s="173"/>
      <c r="CH202" s="173"/>
      <c r="CI202" s="173"/>
      <c r="CJ202" s="173"/>
      <c r="CK202" s="173"/>
      <c r="CL202" s="173"/>
      <c r="CM202" s="173"/>
      <c r="CN202" s="173"/>
      <c r="CO202" s="173"/>
      <c r="CP202" s="173"/>
      <c r="CQ202" s="173"/>
      <c r="CR202" s="173"/>
      <c r="CS202" s="173"/>
    </row>
    <row r="203" spans="2:97" x14ac:dyDescent="0.2">
      <c r="B203" t="s">
        <v>709</v>
      </c>
      <c r="C203" s="173">
        <f>val.Sect9_1.localpolicy6.companyemail</f>
        <v>0</v>
      </c>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c r="CE203" s="173"/>
      <c r="CF203" s="173"/>
      <c r="CG203" s="173"/>
      <c r="CH203" s="173"/>
      <c r="CI203" s="173"/>
      <c r="CJ203" s="173"/>
      <c r="CK203" s="173"/>
      <c r="CL203" s="173"/>
      <c r="CM203" s="173"/>
      <c r="CN203" s="173"/>
      <c r="CO203" s="173"/>
      <c r="CP203" s="173"/>
      <c r="CQ203" s="173"/>
      <c r="CR203" s="173"/>
      <c r="CS203" s="173"/>
    </row>
    <row r="204" spans="2:97" x14ac:dyDescent="0.2">
      <c r="B204" t="s">
        <v>710</v>
      </c>
      <c r="C204" s="173">
        <f>val.Sect9_1.localpolicy6.companyextturnover</f>
        <v>0</v>
      </c>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c r="CM204" s="173"/>
      <c r="CN204" s="173"/>
      <c r="CO204" s="173"/>
      <c r="CP204" s="173"/>
      <c r="CQ204" s="173"/>
      <c r="CR204" s="173"/>
      <c r="CS204" s="173"/>
    </row>
    <row r="205" spans="2:97" x14ac:dyDescent="0.2">
      <c r="B205" t="s">
        <v>335</v>
      </c>
      <c r="C205" s="173">
        <f>val.Sect10.confirmedClaims.YESNO</f>
        <v>0</v>
      </c>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c r="CE205" s="173"/>
      <c r="CF205" s="173"/>
      <c r="CG205" s="173"/>
      <c r="CH205" s="173"/>
      <c r="CI205" s="173"/>
      <c r="CJ205" s="173"/>
      <c r="CK205" s="173"/>
      <c r="CL205" s="173"/>
      <c r="CM205" s="173"/>
      <c r="CN205" s="173"/>
      <c r="CO205" s="173"/>
      <c r="CP205" s="173"/>
      <c r="CQ205" s="173"/>
      <c r="CR205" s="173"/>
      <c r="CS205" s="173"/>
    </row>
    <row r="206" spans="2:97" x14ac:dyDescent="0.2">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c r="CE206" s="173"/>
      <c r="CF206" s="173"/>
      <c r="CG206" s="173"/>
      <c r="CH206" s="173"/>
      <c r="CI206" s="173"/>
      <c r="CJ206" s="173"/>
      <c r="CK206" s="173"/>
      <c r="CL206" s="173"/>
      <c r="CM206" s="173"/>
      <c r="CN206" s="173"/>
      <c r="CO206" s="173"/>
      <c r="CP206" s="173"/>
      <c r="CQ206" s="173"/>
      <c r="CR206" s="173"/>
      <c r="CS206" s="173"/>
    </row>
    <row r="207" spans="2:97" x14ac:dyDescent="0.2">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c r="CM207" s="173"/>
      <c r="CN207" s="173"/>
      <c r="CO207" s="173"/>
      <c r="CP207" s="173"/>
      <c r="CQ207" s="173"/>
      <c r="CR207" s="173"/>
      <c r="CS207" s="173"/>
    </row>
    <row r="208" spans="2:97" x14ac:dyDescent="0.2">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row>
    <row r="209" spans="4:97" x14ac:dyDescent="0.2">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row>
    <row r="210" spans="4:97" x14ac:dyDescent="0.2">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c r="CO210" s="173"/>
      <c r="CP210" s="173"/>
      <c r="CQ210" s="173"/>
      <c r="CR210" s="173"/>
      <c r="CS210" s="173"/>
    </row>
    <row r="211" spans="4:97" x14ac:dyDescent="0.2">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73"/>
      <c r="CF211" s="173"/>
      <c r="CG211" s="173"/>
      <c r="CH211" s="173"/>
      <c r="CI211" s="173"/>
      <c r="CJ211" s="173"/>
      <c r="CK211" s="173"/>
      <c r="CL211" s="173"/>
      <c r="CM211" s="173"/>
      <c r="CN211" s="173"/>
      <c r="CO211" s="173"/>
      <c r="CP211" s="173"/>
      <c r="CQ211" s="173"/>
      <c r="CR211" s="173"/>
      <c r="CS211" s="173"/>
    </row>
    <row r="212" spans="4:97" x14ac:dyDescent="0.2">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c r="CM212" s="173"/>
      <c r="CN212" s="173"/>
      <c r="CO212" s="173"/>
      <c r="CP212" s="173"/>
      <c r="CQ212" s="173"/>
      <c r="CR212" s="173"/>
      <c r="CS212" s="173"/>
    </row>
    <row r="213" spans="4:97" x14ac:dyDescent="0.2">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173"/>
      <c r="CF213" s="173"/>
      <c r="CG213" s="173"/>
      <c r="CH213" s="173"/>
      <c r="CI213" s="173"/>
      <c r="CJ213" s="173"/>
      <c r="CK213" s="173"/>
      <c r="CL213" s="173"/>
      <c r="CM213" s="173"/>
      <c r="CN213" s="173"/>
      <c r="CO213" s="173"/>
      <c r="CP213" s="173"/>
      <c r="CQ213" s="173"/>
      <c r="CR213" s="173"/>
      <c r="CS213" s="173"/>
    </row>
    <row r="214" spans="4:97" x14ac:dyDescent="0.2">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c r="CE214" s="173"/>
      <c r="CF214" s="173"/>
      <c r="CG214" s="173"/>
      <c r="CH214" s="173"/>
      <c r="CI214" s="173"/>
      <c r="CJ214" s="173"/>
      <c r="CK214" s="173"/>
      <c r="CL214" s="173"/>
      <c r="CM214" s="173"/>
      <c r="CN214" s="173"/>
      <c r="CO214" s="173"/>
      <c r="CP214" s="173"/>
      <c r="CQ214" s="173"/>
      <c r="CR214" s="173"/>
      <c r="CS214" s="173"/>
    </row>
    <row r="215" spans="4:97" x14ac:dyDescent="0.2">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c r="CE215" s="173"/>
      <c r="CF215" s="173"/>
      <c r="CG215" s="173"/>
      <c r="CH215" s="173"/>
      <c r="CI215" s="173"/>
      <c r="CJ215" s="173"/>
      <c r="CK215" s="173"/>
      <c r="CL215" s="173"/>
      <c r="CM215" s="173"/>
      <c r="CN215" s="173"/>
      <c r="CO215" s="173"/>
      <c r="CP215" s="173"/>
      <c r="CQ215" s="173"/>
      <c r="CR215" s="173"/>
      <c r="CS215" s="173"/>
    </row>
    <row r="216" spans="4:97" x14ac:dyDescent="0.2">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c r="CE216" s="173"/>
      <c r="CF216" s="173"/>
      <c r="CG216" s="173"/>
      <c r="CH216" s="173"/>
      <c r="CI216" s="173"/>
      <c r="CJ216" s="173"/>
      <c r="CK216" s="173"/>
      <c r="CL216" s="173"/>
      <c r="CM216" s="173"/>
      <c r="CN216" s="173"/>
      <c r="CO216" s="173"/>
      <c r="CP216" s="173"/>
      <c r="CQ216" s="173"/>
      <c r="CR216" s="173"/>
      <c r="CS216" s="173"/>
    </row>
    <row r="217" spans="4:97" x14ac:dyDescent="0.2">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BW217" s="173"/>
      <c r="BX217" s="173"/>
      <c r="BY217" s="173"/>
      <c r="BZ217" s="173"/>
      <c r="CA217" s="173"/>
      <c r="CB217" s="173"/>
      <c r="CC217" s="173"/>
      <c r="CD217" s="173"/>
      <c r="CE217" s="173"/>
      <c r="CF217" s="173"/>
      <c r="CG217" s="173"/>
      <c r="CH217" s="173"/>
      <c r="CI217" s="173"/>
      <c r="CJ217" s="173"/>
      <c r="CK217" s="173"/>
      <c r="CL217" s="173"/>
      <c r="CM217" s="173"/>
      <c r="CN217" s="173"/>
      <c r="CO217" s="173"/>
      <c r="CP217" s="173"/>
      <c r="CQ217" s="173"/>
      <c r="CR217" s="173"/>
      <c r="CS217" s="173"/>
    </row>
    <row r="218" spans="4:97" x14ac:dyDescent="0.2">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c r="CG218" s="173"/>
      <c r="CH218" s="173"/>
      <c r="CI218" s="173"/>
      <c r="CJ218" s="173"/>
      <c r="CK218" s="173"/>
      <c r="CL218" s="173"/>
      <c r="CM218" s="173"/>
      <c r="CN218" s="173"/>
      <c r="CO218" s="173"/>
      <c r="CP218" s="173"/>
      <c r="CQ218" s="173"/>
      <c r="CR218" s="173"/>
      <c r="CS218" s="173"/>
    </row>
    <row r="219" spans="4:97" x14ac:dyDescent="0.2">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c r="CE219" s="173"/>
      <c r="CF219" s="173"/>
      <c r="CG219" s="173"/>
      <c r="CH219" s="173"/>
      <c r="CI219" s="173"/>
      <c r="CJ219" s="173"/>
      <c r="CK219" s="173"/>
      <c r="CL219" s="173"/>
      <c r="CM219" s="173"/>
      <c r="CN219" s="173"/>
      <c r="CO219" s="173"/>
      <c r="CP219" s="173"/>
      <c r="CQ219" s="173"/>
      <c r="CR219" s="173"/>
      <c r="CS219" s="173"/>
    </row>
    <row r="220" spans="4:97" x14ac:dyDescent="0.2">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row>
    <row r="221" spans="4:97" x14ac:dyDescent="0.2">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row>
    <row r="222" spans="4:97" x14ac:dyDescent="0.2">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c r="CM222" s="173"/>
      <c r="CN222" s="173"/>
      <c r="CO222" s="173"/>
      <c r="CP222" s="173"/>
      <c r="CQ222" s="173"/>
      <c r="CR222" s="173"/>
      <c r="CS222" s="173"/>
    </row>
    <row r="223" spans="4:97" x14ac:dyDescent="0.2">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c r="CE223" s="173"/>
      <c r="CF223" s="173"/>
      <c r="CG223" s="173"/>
      <c r="CH223" s="173"/>
      <c r="CI223" s="173"/>
      <c r="CJ223" s="173"/>
      <c r="CK223" s="173"/>
      <c r="CL223" s="173"/>
      <c r="CM223" s="173"/>
      <c r="CN223" s="173"/>
      <c r="CO223" s="173"/>
      <c r="CP223" s="173"/>
      <c r="CQ223" s="173"/>
      <c r="CR223" s="173"/>
      <c r="CS223" s="173"/>
    </row>
    <row r="224" spans="4:97" x14ac:dyDescent="0.2">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M224" s="173"/>
      <c r="CN224" s="173"/>
      <c r="CO224" s="173"/>
      <c r="CP224" s="173"/>
      <c r="CQ224" s="173"/>
      <c r="CR224" s="173"/>
      <c r="CS224" s="173"/>
    </row>
    <row r="225" spans="4:97" x14ac:dyDescent="0.2">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row>
    <row r="226" spans="4:97" x14ac:dyDescent="0.2">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row>
    <row r="227" spans="4:97" x14ac:dyDescent="0.2">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row>
    <row r="228" spans="4:97" x14ac:dyDescent="0.2">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c r="CM228" s="173"/>
      <c r="CN228" s="173"/>
      <c r="CO228" s="173"/>
      <c r="CP228" s="173"/>
      <c r="CQ228" s="173"/>
      <c r="CR228" s="173"/>
      <c r="CS228" s="173"/>
    </row>
    <row r="229" spans="4:97" x14ac:dyDescent="0.2">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BW229" s="173"/>
      <c r="BX229" s="173"/>
      <c r="BY229" s="173"/>
      <c r="BZ229" s="173"/>
      <c r="CA229" s="173"/>
      <c r="CB229" s="173"/>
      <c r="CC229" s="173"/>
      <c r="CD229" s="173"/>
      <c r="CE229" s="173"/>
      <c r="CF229" s="173"/>
      <c r="CG229" s="173"/>
      <c r="CH229" s="173"/>
      <c r="CI229" s="173"/>
      <c r="CJ229" s="173"/>
      <c r="CK229" s="173"/>
      <c r="CL229" s="173"/>
      <c r="CM229" s="173"/>
      <c r="CN229" s="173"/>
      <c r="CO229" s="173"/>
      <c r="CP229" s="173"/>
      <c r="CQ229" s="173"/>
      <c r="CR229" s="173"/>
      <c r="CS229" s="173"/>
    </row>
    <row r="230" spans="4:97" x14ac:dyDescent="0.2">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c r="CE230" s="173"/>
      <c r="CF230" s="173"/>
      <c r="CG230" s="173"/>
      <c r="CH230" s="173"/>
      <c r="CI230" s="173"/>
      <c r="CJ230" s="173"/>
      <c r="CK230" s="173"/>
      <c r="CL230" s="173"/>
      <c r="CM230" s="173"/>
      <c r="CN230" s="173"/>
      <c r="CO230" s="173"/>
      <c r="CP230" s="173"/>
      <c r="CQ230" s="173"/>
      <c r="CR230" s="173"/>
      <c r="CS230" s="173"/>
    </row>
    <row r="231" spans="4:97" x14ac:dyDescent="0.2">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c r="BY231" s="173"/>
      <c r="BZ231" s="173"/>
      <c r="CA231" s="173"/>
      <c r="CB231" s="173"/>
      <c r="CC231" s="173"/>
      <c r="CD231" s="173"/>
      <c r="CE231" s="173"/>
      <c r="CF231" s="173"/>
      <c r="CG231" s="173"/>
      <c r="CH231" s="173"/>
      <c r="CI231" s="173"/>
      <c r="CJ231" s="173"/>
      <c r="CK231" s="173"/>
      <c r="CL231" s="173"/>
      <c r="CM231" s="173"/>
      <c r="CN231" s="173"/>
      <c r="CO231" s="173"/>
      <c r="CP231" s="173"/>
      <c r="CQ231" s="173"/>
      <c r="CR231" s="173"/>
      <c r="CS231" s="173"/>
    </row>
    <row r="232" spans="4:97" x14ac:dyDescent="0.2">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row>
    <row r="233" spans="4:97" x14ac:dyDescent="0.2">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c r="CE233" s="173"/>
      <c r="CF233" s="173"/>
      <c r="CG233" s="173"/>
      <c r="CH233" s="173"/>
      <c r="CI233" s="173"/>
      <c r="CJ233" s="173"/>
      <c r="CK233" s="173"/>
      <c r="CL233" s="173"/>
      <c r="CM233" s="173"/>
      <c r="CN233" s="173"/>
      <c r="CO233" s="173"/>
      <c r="CP233" s="173"/>
      <c r="CQ233" s="173"/>
      <c r="CR233" s="173"/>
      <c r="CS233" s="173"/>
    </row>
    <row r="234" spans="4:97" x14ac:dyDescent="0.2">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row>
    <row r="235" spans="4:97" x14ac:dyDescent="0.2">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row>
    <row r="236" spans="4:97" x14ac:dyDescent="0.2">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row>
    <row r="237" spans="4:97" x14ac:dyDescent="0.2">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c r="CE237" s="173"/>
      <c r="CF237" s="173"/>
      <c r="CG237" s="173"/>
      <c r="CH237" s="173"/>
      <c r="CI237" s="173"/>
      <c r="CJ237" s="173"/>
      <c r="CK237" s="173"/>
      <c r="CL237" s="173"/>
      <c r="CM237" s="173"/>
      <c r="CN237" s="173"/>
      <c r="CO237" s="173"/>
      <c r="CP237" s="173"/>
      <c r="CQ237" s="173"/>
      <c r="CR237" s="173"/>
      <c r="CS237" s="173"/>
    </row>
    <row r="238" spans="4:97" x14ac:dyDescent="0.2">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c r="CM238" s="173"/>
      <c r="CN238" s="173"/>
      <c r="CO238" s="173"/>
      <c r="CP238" s="173"/>
      <c r="CQ238" s="173"/>
      <c r="CR238" s="173"/>
      <c r="CS238" s="173"/>
    </row>
    <row r="239" spans="4:97" x14ac:dyDescent="0.2">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row>
    <row r="240" spans="4:97" x14ac:dyDescent="0.2">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BW240" s="173"/>
      <c r="BX240" s="173"/>
      <c r="BY240" s="173"/>
      <c r="BZ240" s="173"/>
      <c r="CA240" s="173"/>
      <c r="CB240" s="173"/>
      <c r="CC240" s="173"/>
      <c r="CD240" s="173"/>
      <c r="CE240" s="173"/>
      <c r="CF240" s="173"/>
      <c r="CG240" s="173"/>
      <c r="CH240" s="173"/>
      <c r="CI240" s="173"/>
      <c r="CJ240" s="173"/>
      <c r="CK240" s="173"/>
      <c r="CL240" s="173"/>
      <c r="CM240" s="173"/>
      <c r="CN240" s="173"/>
      <c r="CO240" s="173"/>
      <c r="CP240" s="173"/>
      <c r="CQ240" s="173"/>
      <c r="CR240" s="173"/>
      <c r="CS240" s="173"/>
    </row>
    <row r="241" spans="4:97" x14ac:dyDescent="0.2">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c r="CE241" s="173"/>
      <c r="CF241" s="173"/>
      <c r="CG241" s="173"/>
      <c r="CH241" s="173"/>
      <c r="CI241" s="173"/>
      <c r="CJ241" s="173"/>
      <c r="CK241" s="173"/>
      <c r="CL241" s="173"/>
      <c r="CM241" s="173"/>
      <c r="CN241" s="173"/>
      <c r="CO241" s="173"/>
      <c r="CP241" s="173"/>
      <c r="CQ241" s="173"/>
      <c r="CR241" s="173"/>
      <c r="CS241" s="173"/>
    </row>
    <row r="242" spans="4:97" x14ac:dyDescent="0.2">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c r="CE242" s="173"/>
      <c r="CF242" s="173"/>
      <c r="CG242" s="173"/>
      <c r="CH242" s="173"/>
      <c r="CI242" s="173"/>
      <c r="CJ242" s="173"/>
      <c r="CK242" s="173"/>
      <c r="CL242" s="173"/>
      <c r="CM242" s="173"/>
      <c r="CN242" s="173"/>
      <c r="CO242" s="173"/>
      <c r="CP242" s="173"/>
      <c r="CQ242" s="173"/>
      <c r="CR242" s="173"/>
      <c r="CS242" s="173"/>
    </row>
    <row r="243" spans="4:97" x14ac:dyDescent="0.2">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c r="CE243" s="173"/>
      <c r="CF243" s="173"/>
      <c r="CG243" s="173"/>
      <c r="CH243" s="173"/>
      <c r="CI243" s="173"/>
      <c r="CJ243" s="173"/>
      <c r="CK243" s="173"/>
      <c r="CL243" s="173"/>
      <c r="CM243" s="173"/>
      <c r="CN243" s="173"/>
      <c r="CO243" s="173"/>
      <c r="CP243" s="173"/>
      <c r="CQ243" s="173"/>
      <c r="CR243" s="173"/>
      <c r="CS243" s="173"/>
    </row>
    <row r="244" spans="4:97" x14ac:dyDescent="0.2">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c r="CE244" s="173"/>
      <c r="CF244" s="173"/>
      <c r="CG244" s="173"/>
      <c r="CH244" s="173"/>
      <c r="CI244" s="173"/>
      <c r="CJ244" s="173"/>
      <c r="CK244" s="173"/>
      <c r="CL244" s="173"/>
      <c r="CM244" s="173"/>
      <c r="CN244" s="173"/>
      <c r="CO244" s="173"/>
      <c r="CP244" s="173"/>
      <c r="CQ244" s="173"/>
      <c r="CR244" s="173"/>
      <c r="CS244" s="173"/>
    </row>
    <row r="245" spans="4:97" x14ac:dyDescent="0.2">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c r="CE245" s="173"/>
      <c r="CF245" s="173"/>
      <c r="CG245" s="173"/>
      <c r="CH245" s="173"/>
      <c r="CI245" s="173"/>
      <c r="CJ245" s="173"/>
      <c r="CK245" s="173"/>
      <c r="CL245" s="173"/>
      <c r="CM245" s="173"/>
      <c r="CN245" s="173"/>
      <c r="CO245" s="173"/>
      <c r="CP245" s="173"/>
      <c r="CQ245" s="173"/>
      <c r="CR245" s="173"/>
      <c r="CS245" s="173"/>
    </row>
    <row r="246" spans="4:97" x14ac:dyDescent="0.2">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c r="CM246" s="173"/>
      <c r="CN246" s="173"/>
      <c r="CO246" s="173"/>
      <c r="CP246" s="173"/>
      <c r="CQ246" s="173"/>
      <c r="CR246" s="173"/>
      <c r="CS246" s="173"/>
    </row>
    <row r="247" spans="4:97" x14ac:dyDescent="0.2">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3"/>
      <c r="CF247" s="173"/>
      <c r="CG247" s="173"/>
      <c r="CH247" s="173"/>
      <c r="CI247" s="173"/>
      <c r="CJ247" s="173"/>
      <c r="CK247" s="173"/>
      <c r="CL247" s="173"/>
      <c r="CM247" s="173"/>
      <c r="CN247" s="173"/>
      <c r="CO247" s="173"/>
      <c r="CP247" s="173"/>
      <c r="CQ247" s="173"/>
      <c r="CR247" s="173"/>
      <c r="CS247" s="173"/>
    </row>
    <row r="248" spans="4:97" x14ac:dyDescent="0.2">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c r="CE248" s="173"/>
      <c r="CF248" s="173"/>
      <c r="CG248" s="173"/>
      <c r="CH248" s="173"/>
      <c r="CI248" s="173"/>
      <c r="CJ248" s="173"/>
      <c r="CK248" s="173"/>
      <c r="CL248" s="173"/>
      <c r="CM248" s="173"/>
      <c r="CN248" s="173"/>
      <c r="CO248" s="173"/>
      <c r="CP248" s="173"/>
      <c r="CQ248" s="173"/>
      <c r="CR248" s="173"/>
      <c r="CS248" s="173"/>
    </row>
    <row r="249" spans="4:97" x14ac:dyDescent="0.2">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3"/>
      <c r="CF249" s="173"/>
      <c r="CG249" s="173"/>
      <c r="CH249" s="173"/>
      <c r="CI249" s="173"/>
      <c r="CJ249" s="173"/>
      <c r="CK249" s="173"/>
      <c r="CL249" s="173"/>
      <c r="CM249" s="173"/>
      <c r="CN249" s="173"/>
      <c r="CO249" s="173"/>
      <c r="CP249" s="173"/>
      <c r="CQ249" s="173"/>
      <c r="CR249" s="173"/>
      <c r="CS249" s="173"/>
    </row>
    <row r="250" spans="4:97" x14ac:dyDescent="0.2">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c r="CM250" s="173"/>
      <c r="CN250" s="173"/>
      <c r="CO250" s="173"/>
      <c r="CP250" s="173"/>
      <c r="CQ250" s="173"/>
      <c r="CR250" s="173"/>
      <c r="CS250" s="173"/>
    </row>
    <row r="251" spans="4:97" x14ac:dyDescent="0.2">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c r="CE251" s="173"/>
      <c r="CF251" s="173"/>
      <c r="CG251" s="173"/>
      <c r="CH251" s="173"/>
      <c r="CI251" s="173"/>
      <c r="CJ251" s="173"/>
      <c r="CK251" s="173"/>
      <c r="CL251" s="173"/>
      <c r="CM251" s="173"/>
      <c r="CN251" s="173"/>
      <c r="CO251" s="173"/>
      <c r="CP251" s="173"/>
      <c r="CQ251" s="173"/>
      <c r="CR251" s="173"/>
      <c r="CS251" s="173"/>
    </row>
    <row r="252" spans="4:97" x14ac:dyDescent="0.2">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row>
    <row r="253" spans="4:97" x14ac:dyDescent="0.2">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c r="CE253" s="173"/>
      <c r="CF253" s="173"/>
      <c r="CG253" s="173"/>
      <c r="CH253" s="173"/>
      <c r="CI253" s="173"/>
      <c r="CJ253" s="173"/>
      <c r="CK253" s="173"/>
      <c r="CL253" s="173"/>
      <c r="CM253" s="173"/>
      <c r="CN253" s="173"/>
      <c r="CO253" s="173"/>
      <c r="CP253" s="173"/>
      <c r="CQ253" s="173"/>
      <c r="CR253" s="173"/>
      <c r="CS253" s="173"/>
    </row>
    <row r="254" spans="4:97" x14ac:dyDescent="0.2">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BW254" s="173"/>
      <c r="BX254" s="173"/>
      <c r="BY254" s="173"/>
      <c r="BZ254" s="173"/>
      <c r="CA254" s="173"/>
      <c r="CB254" s="173"/>
      <c r="CC254" s="173"/>
      <c r="CD254" s="173"/>
      <c r="CE254" s="173"/>
      <c r="CF254" s="173"/>
      <c r="CG254" s="173"/>
      <c r="CH254" s="173"/>
      <c r="CI254" s="173"/>
      <c r="CJ254" s="173"/>
      <c r="CK254" s="173"/>
      <c r="CL254" s="173"/>
      <c r="CM254" s="173"/>
      <c r="CN254" s="173"/>
      <c r="CO254" s="173"/>
      <c r="CP254" s="173"/>
      <c r="CQ254" s="173"/>
      <c r="CR254" s="173"/>
      <c r="CS254" s="173"/>
    </row>
    <row r="255" spans="4:97" x14ac:dyDescent="0.2">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BW255" s="173"/>
      <c r="BX255" s="173"/>
      <c r="BY255" s="173"/>
      <c r="BZ255" s="173"/>
      <c r="CA255" s="173"/>
      <c r="CB255" s="173"/>
      <c r="CC255" s="173"/>
      <c r="CD255" s="173"/>
      <c r="CE255" s="173"/>
      <c r="CF255" s="173"/>
      <c r="CG255" s="173"/>
      <c r="CH255" s="173"/>
      <c r="CI255" s="173"/>
      <c r="CJ255" s="173"/>
      <c r="CK255" s="173"/>
      <c r="CL255" s="173"/>
      <c r="CM255" s="173"/>
      <c r="CN255" s="173"/>
      <c r="CO255" s="173"/>
      <c r="CP255" s="173"/>
      <c r="CQ255" s="173"/>
      <c r="CR255" s="173"/>
      <c r="CS255" s="173"/>
    </row>
    <row r="256" spans="4:97" x14ac:dyDescent="0.2">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BW256" s="173"/>
      <c r="BX256" s="173"/>
      <c r="BY256" s="173"/>
      <c r="BZ256" s="173"/>
      <c r="CA256" s="173"/>
      <c r="CB256" s="173"/>
      <c r="CC256" s="173"/>
      <c r="CD256" s="173"/>
      <c r="CE256" s="173"/>
      <c r="CF256" s="173"/>
      <c r="CG256" s="173"/>
      <c r="CH256" s="173"/>
      <c r="CI256" s="173"/>
      <c r="CJ256" s="173"/>
      <c r="CK256" s="173"/>
      <c r="CL256" s="173"/>
      <c r="CM256" s="173"/>
      <c r="CN256" s="173"/>
      <c r="CO256" s="173"/>
      <c r="CP256" s="173"/>
      <c r="CQ256" s="173"/>
      <c r="CR256" s="173"/>
      <c r="CS256" s="173"/>
    </row>
    <row r="257" spans="4:97" x14ac:dyDescent="0.2">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c r="CE257" s="173"/>
      <c r="CF257" s="173"/>
      <c r="CG257" s="173"/>
      <c r="CH257" s="173"/>
      <c r="CI257" s="173"/>
      <c r="CJ257" s="173"/>
      <c r="CK257" s="173"/>
      <c r="CL257" s="173"/>
      <c r="CM257" s="173"/>
      <c r="CN257" s="173"/>
      <c r="CO257" s="173"/>
      <c r="CP257" s="173"/>
      <c r="CQ257" s="173"/>
      <c r="CR257" s="173"/>
      <c r="CS257" s="173"/>
    </row>
    <row r="258" spans="4:97" x14ac:dyDescent="0.2">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row>
    <row r="259" spans="4:97" x14ac:dyDescent="0.2">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c r="CE259" s="173"/>
      <c r="CF259" s="173"/>
      <c r="CG259" s="173"/>
      <c r="CH259" s="173"/>
      <c r="CI259" s="173"/>
      <c r="CJ259" s="173"/>
      <c r="CK259" s="173"/>
      <c r="CL259" s="173"/>
      <c r="CM259" s="173"/>
      <c r="CN259" s="173"/>
      <c r="CO259" s="173"/>
      <c r="CP259" s="173"/>
      <c r="CQ259" s="173"/>
      <c r="CR259" s="173"/>
      <c r="CS259" s="173"/>
    </row>
    <row r="260" spans="4:97" x14ac:dyDescent="0.2">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row>
    <row r="261" spans="4:97" x14ac:dyDescent="0.2">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BW261" s="173"/>
      <c r="BX261" s="173"/>
      <c r="BY261" s="173"/>
      <c r="BZ261" s="173"/>
      <c r="CA261" s="173"/>
      <c r="CB261" s="173"/>
      <c r="CC261" s="173"/>
      <c r="CD261" s="173"/>
      <c r="CE261" s="173"/>
      <c r="CF261" s="173"/>
      <c r="CG261" s="173"/>
      <c r="CH261" s="173"/>
      <c r="CI261" s="173"/>
      <c r="CJ261" s="173"/>
      <c r="CK261" s="173"/>
      <c r="CL261" s="173"/>
      <c r="CM261" s="173"/>
      <c r="CN261" s="173"/>
      <c r="CO261" s="173"/>
      <c r="CP261" s="173"/>
      <c r="CQ261" s="173"/>
      <c r="CR261" s="173"/>
      <c r="CS261" s="173"/>
    </row>
    <row r="262" spans="4:97" x14ac:dyDescent="0.2">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c r="CM262" s="173"/>
      <c r="CN262" s="173"/>
      <c r="CO262" s="173"/>
      <c r="CP262" s="173"/>
      <c r="CQ262" s="173"/>
      <c r="CR262" s="173"/>
      <c r="CS262" s="173"/>
    </row>
    <row r="263" spans="4:97" x14ac:dyDescent="0.2">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row>
    <row r="264" spans="4:97" x14ac:dyDescent="0.2">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BW264" s="173"/>
      <c r="BX264" s="173"/>
      <c r="BY264" s="173"/>
      <c r="BZ264" s="173"/>
      <c r="CA264" s="173"/>
      <c r="CB264" s="173"/>
      <c r="CC264" s="173"/>
      <c r="CD264" s="173"/>
      <c r="CE264" s="173"/>
      <c r="CF264" s="173"/>
      <c r="CG264" s="173"/>
      <c r="CH264" s="173"/>
      <c r="CI264" s="173"/>
      <c r="CJ264" s="173"/>
      <c r="CK264" s="173"/>
      <c r="CL264" s="173"/>
      <c r="CM264" s="173"/>
      <c r="CN264" s="173"/>
      <c r="CO264" s="173"/>
      <c r="CP264" s="173"/>
      <c r="CQ264" s="173"/>
      <c r="CR264" s="173"/>
      <c r="CS264" s="173"/>
    </row>
    <row r="265" spans="4:97" x14ac:dyDescent="0.2">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row>
    <row r="266" spans="4:97" x14ac:dyDescent="0.2">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c r="CM266" s="173"/>
      <c r="CN266" s="173"/>
      <c r="CO266" s="173"/>
      <c r="CP266" s="173"/>
      <c r="CQ266" s="173"/>
      <c r="CR266" s="173"/>
      <c r="CS266" s="173"/>
    </row>
    <row r="267" spans="4:97" x14ac:dyDescent="0.2">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c r="CE267" s="173"/>
      <c r="CF267" s="173"/>
      <c r="CG267" s="173"/>
      <c r="CH267" s="173"/>
      <c r="CI267" s="173"/>
      <c r="CJ267" s="173"/>
      <c r="CK267" s="173"/>
      <c r="CL267" s="173"/>
      <c r="CM267" s="173"/>
      <c r="CN267" s="173"/>
      <c r="CO267" s="173"/>
      <c r="CP267" s="173"/>
      <c r="CQ267" s="173"/>
      <c r="CR267" s="173"/>
      <c r="CS267" s="173"/>
    </row>
    <row r="268" spans="4:97" x14ac:dyDescent="0.2">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c r="CE268" s="173"/>
      <c r="CF268" s="173"/>
      <c r="CG268" s="173"/>
      <c r="CH268" s="173"/>
      <c r="CI268" s="173"/>
      <c r="CJ268" s="173"/>
      <c r="CK268" s="173"/>
      <c r="CL268" s="173"/>
      <c r="CM268" s="173"/>
      <c r="CN268" s="173"/>
      <c r="CO268" s="173"/>
      <c r="CP268" s="173"/>
      <c r="CQ268" s="173"/>
      <c r="CR268" s="173"/>
      <c r="CS268" s="173"/>
    </row>
    <row r="269" spans="4:97" x14ac:dyDescent="0.2">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c r="CE269" s="173"/>
      <c r="CF269" s="173"/>
      <c r="CG269" s="173"/>
      <c r="CH269" s="173"/>
      <c r="CI269" s="173"/>
      <c r="CJ269" s="173"/>
      <c r="CK269" s="173"/>
      <c r="CL269" s="173"/>
      <c r="CM269" s="173"/>
      <c r="CN269" s="173"/>
      <c r="CO269" s="173"/>
      <c r="CP269" s="173"/>
      <c r="CQ269" s="173"/>
      <c r="CR269" s="173"/>
      <c r="CS269" s="173"/>
    </row>
    <row r="270" spans="4:97" x14ac:dyDescent="0.2">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row>
    <row r="271" spans="4:97" x14ac:dyDescent="0.2">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row>
    <row r="272" spans="4:97" x14ac:dyDescent="0.2">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row>
    <row r="273" spans="4:97" x14ac:dyDescent="0.2">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row>
    <row r="274" spans="4:97" x14ac:dyDescent="0.2">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row>
    <row r="275" spans="4:97" x14ac:dyDescent="0.2">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c r="CE275" s="173"/>
      <c r="CF275" s="173"/>
      <c r="CG275" s="173"/>
      <c r="CH275" s="173"/>
      <c r="CI275" s="173"/>
      <c r="CJ275" s="173"/>
      <c r="CK275" s="173"/>
      <c r="CL275" s="173"/>
      <c r="CM275" s="173"/>
      <c r="CN275" s="173"/>
      <c r="CO275" s="173"/>
      <c r="CP275" s="173"/>
      <c r="CQ275" s="173"/>
      <c r="CR275" s="173"/>
      <c r="CS275" s="17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R165"/>
  <sheetViews>
    <sheetView zoomScaleNormal="100" workbookViewId="0">
      <pane ySplit="6" topLeftCell="A86" activePane="bottomLeft" state="frozenSplit"/>
      <selection activeCell="C5" sqref="C5"/>
      <selection pane="bottomLeft" activeCell="C96" sqref="C96"/>
    </sheetView>
  </sheetViews>
  <sheetFormatPr defaultColWidth="11.42578125" defaultRowHeight="11.25" x14ac:dyDescent="0.2"/>
  <cols>
    <col min="1" max="1" width="41.42578125" style="99" bestFit="1" customWidth="1"/>
    <col min="2" max="3" width="47.7109375" style="99" bestFit="1" customWidth="1"/>
    <col min="4" max="4" width="27.7109375" style="99" bestFit="1" customWidth="1"/>
    <col min="5" max="5" width="70.85546875" style="99" customWidth="1"/>
    <col min="6" max="6" width="2.28515625" style="99" customWidth="1"/>
    <col min="7" max="7" width="11.42578125" style="99"/>
    <col min="8" max="8" width="15.140625" style="99" bestFit="1" customWidth="1"/>
    <col min="9" max="11" width="11.42578125" style="99"/>
    <col min="12" max="12" width="17" style="99" bestFit="1" customWidth="1"/>
    <col min="13" max="13" width="13.7109375" style="99" bestFit="1" customWidth="1"/>
    <col min="14" max="14" width="14.140625" style="99" bestFit="1" customWidth="1"/>
    <col min="15" max="16384" width="11.42578125" style="99"/>
  </cols>
  <sheetData>
    <row r="1" spans="1:18" x14ac:dyDescent="0.2">
      <c r="A1" s="99" t="s">
        <v>157</v>
      </c>
      <c r="B1" s="99" t="s">
        <v>158</v>
      </c>
    </row>
    <row r="2" spans="1:18" x14ac:dyDescent="0.2">
      <c r="A2" s="99" t="s">
        <v>159</v>
      </c>
      <c r="B2" s="99" t="s">
        <v>160</v>
      </c>
    </row>
    <row r="3" spans="1:18" x14ac:dyDescent="0.2">
      <c r="A3" s="99" t="s">
        <v>161</v>
      </c>
      <c r="B3" s="99" t="s">
        <v>162</v>
      </c>
    </row>
    <row r="4" spans="1:18" x14ac:dyDescent="0.2">
      <c r="A4" s="99" t="s">
        <v>163</v>
      </c>
      <c r="B4" s="99" t="s">
        <v>164</v>
      </c>
    </row>
    <row r="5" spans="1:18" ht="12" thickBot="1" x14ac:dyDescent="0.25"/>
    <row r="6" spans="1:18" ht="12" thickTop="1" x14ac:dyDescent="0.2">
      <c r="A6" s="102" t="s">
        <v>156</v>
      </c>
      <c r="B6" s="102" t="s">
        <v>121</v>
      </c>
      <c r="C6" s="102" t="s">
        <v>15</v>
      </c>
      <c r="D6" s="102" t="s">
        <v>53</v>
      </c>
      <c r="E6" s="232" t="s">
        <v>423</v>
      </c>
      <c r="F6" s="102"/>
    </row>
    <row r="7" spans="1:18" x14ac:dyDescent="0.2">
      <c r="E7" s="233"/>
    </row>
    <row r="8" spans="1:18" x14ac:dyDescent="0.2">
      <c r="A8" s="103" t="s">
        <v>155</v>
      </c>
      <c r="B8" s="101" t="s">
        <v>15</v>
      </c>
      <c r="E8" s="233"/>
    </row>
    <row r="9" spans="1:18" x14ac:dyDescent="0.2">
      <c r="B9" s="101" t="s">
        <v>53</v>
      </c>
      <c r="E9" s="233"/>
    </row>
    <row r="10" spans="1:18" x14ac:dyDescent="0.2">
      <c r="B10" s="101" t="s">
        <v>423</v>
      </c>
      <c r="E10" s="233"/>
    </row>
    <row r="11" spans="1:18" x14ac:dyDescent="0.2">
      <c r="E11" s="233"/>
    </row>
    <row r="12" spans="1:18" x14ac:dyDescent="0.2">
      <c r="A12" s="103" t="s">
        <v>173</v>
      </c>
      <c r="B12" s="101" t="str">
        <f>IF(val.SelectedLanguage="Deutsch",C12,IF(val.SelectedLanguage="English",D12,E12))</f>
        <v>Yes</v>
      </c>
      <c r="C12" s="99" t="s">
        <v>130</v>
      </c>
      <c r="D12" s="99" t="s">
        <v>171</v>
      </c>
      <c r="E12" s="233" t="s">
        <v>424</v>
      </c>
      <c r="I12" s="99" t="s">
        <v>134</v>
      </c>
      <c r="J12" s="99" t="s">
        <v>135</v>
      </c>
    </row>
    <row r="13" spans="1:18" x14ac:dyDescent="0.2">
      <c r="B13" s="101" t="str">
        <f>IF(val.SelectedLanguage="Deutsch",C13,IF(val.SelectedLanguage="English",D13,E13))</f>
        <v>No</v>
      </c>
      <c r="C13" s="99" t="s">
        <v>131</v>
      </c>
      <c r="D13" s="99" t="s">
        <v>172</v>
      </c>
      <c r="E13" s="233" t="s">
        <v>425</v>
      </c>
      <c r="H13" s="100" t="s">
        <v>181</v>
      </c>
      <c r="I13" s="99" t="s">
        <v>136</v>
      </c>
      <c r="J13" s="99" t="s">
        <v>137</v>
      </c>
      <c r="L13" s="100" t="s">
        <v>118</v>
      </c>
      <c r="M13" s="99" t="str">
        <f t="shared" ref="M13:M30" si="0">N13&amp;" "&amp;IF(val.SelectedLanguage="Deutsch",O13,P13)</f>
        <v>AT Österreich</v>
      </c>
      <c r="N13" s="99" t="s">
        <v>91</v>
      </c>
      <c r="O13" s="99" t="s">
        <v>95</v>
      </c>
      <c r="P13" s="99" t="s">
        <v>95</v>
      </c>
      <c r="Q13" s="99" t="s">
        <v>91</v>
      </c>
      <c r="R13" s="99" t="s">
        <v>145</v>
      </c>
    </row>
    <row r="14" spans="1:18" x14ac:dyDescent="0.2">
      <c r="E14" s="233"/>
      <c r="H14" s="100" t="s">
        <v>144</v>
      </c>
      <c r="I14" s="99" t="s">
        <v>141</v>
      </c>
      <c r="J14" s="99" t="s">
        <v>138</v>
      </c>
      <c r="L14" s="100" t="s">
        <v>119</v>
      </c>
      <c r="M14" s="99" t="str">
        <f t="shared" si="0"/>
        <v>AU Australia</v>
      </c>
      <c r="N14" s="99" t="s">
        <v>68</v>
      </c>
      <c r="O14" s="99" t="s">
        <v>96</v>
      </c>
      <c r="P14" s="99" t="s">
        <v>93</v>
      </c>
      <c r="Q14" s="99" t="s">
        <v>68</v>
      </c>
      <c r="R14" s="99" t="s">
        <v>93</v>
      </c>
    </row>
    <row r="15" spans="1:18" x14ac:dyDescent="0.2">
      <c r="A15" s="103" t="s">
        <v>235</v>
      </c>
      <c r="B15" s="101" t="str">
        <f>IF(val.SelectedLanguage="Deutsch",C15,IF(val.SelectedLanguage="English",D15,E15))</f>
        <v>We kindly ask you to send us back the filled-out questionnaire to airbus.scheme@willistowerswatson.com, even if you choose not to prolongate the contract. Thank you!</v>
      </c>
      <c r="C15" s="99" t="s">
        <v>792</v>
      </c>
      <c r="D15" s="99" t="s">
        <v>420</v>
      </c>
      <c r="E15" s="233" t="s">
        <v>715</v>
      </c>
      <c r="I15" s="99" t="s">
        <v>139</v>
      </c>
      <c r="J15" s="99" t="s">
        <v>140</v>
      </c>
      <c r="M15" s="99" t="str">
        <f t="shared" si="0"/>
        <v>BE Belgium</v>
      </c>
      <c r="N15" s="99" t="s">
        <v>83</v>
      </c>
      <c r="O15" s="99" t="s">
        <v>97</v>
      </c>
      <c r="P15" s="99" t="s">
        <v>94</v>
      </c>
      <c r="Q15" s="99" t="s">
        <v>83</v>
      </c>
      <c r="R15" s="99" t="s">
        <v>94</v>
      </c>
    </row>
    <row r="16" spans="1:18" x14ac:dyDescent="0.2">
      <c r="A16" s="103" t="s">
        <v>336</v>
      </c>
      <c r="B16" s="101" t="str">
        <f>IF(val.SelectedLanguage="Deutsch",C16,IF(val.SelectedLanguage="English",D16,E16))</f>
        <v>Sales &amp; Risk Questionnaire for Aviation and Space Insurance</v>
      </c>
      <c r="C16" s="99" t="s">
        <v>56</v>
      </c>
      <c r="D16" s="99" t="s">
        <v>400</v>
      </c>
      <c r="E16" s="233" t="s">
        <v>716</v>
      </c>
      <c r="I16" s="99" t="s">
        <v>142</v>
      </c>
      <c r="J16" s="99" t="s">
        <v>143</v>
      </c>
      <c r="M16" s="99" t="str">
        <f>N16&amp;" "&amp;IF(val.SelectedLanguage="Deutsch",O16,P16)</f>
        <v>CH Switzerland</v>
      </c>
      <c r="N16" s="99" t="s">
        <v>69</v>
      </c>
      <c r="O16" s="99" t="s">
        <v>98</v>
      </c>
      <c r="P16" s="99" t="s">
        <v>99</v>
      </c>
      <c r="Q16" s="99" t="s">
        <v>69</v>
      </c>
      <c r="R16" s="99" t="s">
        <v>98</v>
      </c>
    </row>
    <row r="17" spans="1:18" x14ac:dyDescent="0.2">
      <c r="A17" s="103" t="s">
        <v>337</v>
      </c>
      <c r="B17" s="101" t="str">
        <f>IF(val.SelectedLanguage="Deutsch",C17,IF(val.SelectedLanguage="English",D17,E17))</f>
        <v>regarding the Airbus SE supplier scheme</v>
      </c>
      <c r="C17" s="99" t="s">
        <v>490</v>
      </c>
      <c r="D17" s="99" t="s">
        <v>491</v>
      </c>
      <c r="E17" s="233" t="s">
        <v>717</v>
      </c>
      <c r="M17" s="99" t="str">
        <f t="shared" si="0"/>
        <v>CZ Czech Republik</v>
      </c>
      <c r="N17" s="99" t="s">
        <v>150</v>
      </c>
      <c r="O17" s="99" t="s">
        <v>151</v>
      </c>
      <c r="P17" s="99" t="s">
        <v>146</v>
      </c>
      <c r="Q17" s="99" t="s">
        <v>150</v>
      </c>
      <c r="R17" s="99" t="s">
        <v>146</v>
      </c>
    </row>
    <row r="18" spans="1:18" x14ac:dyDescent="0.2">
      <c r="A18" s="103" t="s">
        <v>270</v>
      </c>
      <c r="B18" s="101" t="str">
        <f>IF(val.SelectedLanguage="Deutsch",C18,IF(val.SelectedLanguage="English",D18,E18))</f>
        <v>Thank you very much for completion of this questionnaire! Please send it back as EXCEL file!</v>
      </c>
      <c r="C18" s="99" t="s">
        <v>271</v>
      </c>
      <c r="D18" s="99" t="s">
        <v>411</v>
      </c>
      <c r="E18" s="233" t="s">
        <v>718</v>
      </c>
      <c r="M18" s="99" t="str">
        <f t="shared" si="0"/>
        <v>DE Deutschland</v>
      </c>
      <c r="N18" s="99" t="s">
        <v>81</v>
      </c>
      <c r="O18" s="99" t="s">
        <v>100</v>
      </c>
      <c r="P18" s="99" t="s">
        <v>100</v>
      </c>
      <c r="Q18" s="99" t="s">
        <v>81</v>
      </c>
      <c r="R18" s="99" t="s">
        <v>147</v>
      </c>
    </row>
    <row r="19" spans="1:18" x14ac:dyDescent="0.2">
      <c r="E19" s="233"/>
      <c r="I19" s="100" t="s">
        <v>234</v>
      </c>
      <c r="M19" s="99" t="str">
        <f t="shared" si="0"/>
        <v>DK Denmark</v>
      </c>
      <c r="N19" s="99" t="s">
        <v>90</v>
      </c>
      <c r="O19" s="99" t="s">
        <v>101</v>
      </c>
      <c r="P19" s="99" t="s">
        <v>75</v>
      </c>
      <c r="Q19" s="99" t="s">
        <v>90</v>
      </c>
      <c r="R19" s="99" t="s">
        <v>75</v>
      </c>
    </row>
    <row r="20" spans="1:18" x14ac:dyDescent="0.2">
      <c r="E20" s="233"/>
      <c r="I20" s="99">
        <v>5</v>
      </c>
      <c r="M20" s="99" t="str">
        <f t="shared" si="0"/>
        <v>ES Spain</v>
      </c>
      <c r="N20" s="99" t="s">
        <v>86</v>
      </c>
      <c r="O20" s="99" t="s">
        <v>102</v>
      </c>
      <c r="P20" s="99" t="s">
        <v>103</v>
      </c>
      <c r="Q20" s="99" t="s">
        <v>86</v>
      </c>
      <c r="R20" s="99" t="s">
        <v>103</v>
      </c>
    </row>
    <row r="21" spans="1:18" x14ac:dyDescent="0.2">
      <c r="A21" s="105" t="s">
        <v>166</v>
      </c>
      <c r="B21" s="104" t="str">
        <f>IF(val.SelectedLanguage="Deutsch",C21,IF(val.SelectedLanguage="English",D21,E21))</f>
        <v>1. Matter of quote</v>
      </c>
      <c r="C21" s="104" t="s">
        <v>28</v>
      </c>
      <c r="D21" s="104" t="s">
        <v>120</v>
      </c>
      <c r="E21" s="234" t="s">
        <v>719</v>
      </c>
      <c r="F21" s="104"/>
      <c r="I21" s="99">
        <v>20</v>
      </c>
      <c r="M21" s="99" t="str">
        <f t="shared" si="0"/>
        <v>FI Finland</v>
      </c>
      <c r="N21" s="99" t="s">
        <v>79</v>
      </c>
      <c r="O21" s="99" t="s">
        <v>104</v>
      </c>
      <c r="P21" s="99" t="s">
        <v>105</v>
      </c>
      <c r="Q21" s="99" t="s">
        <v>79</v>
      </c>
      <c r="R21" s="99" t="s">
        <v>105</v>
      </c>
    </row>
    <row r="22" spans="1:18" x14ac:dyDescent="0.2">
      <c r="A22" s="103" t="s">
        <v>58</v>
      </c>
      <c r="B22" s="101" t="str">
        <f>IF(val.SelectedLanguage="Deutsch",C22,IF(val.SelectedLanguage="English",D22,E22))</f>
        <v>Please select the type of quote:</v>
      </c>
      <c r="C22" s="99" t="s">
        <v>59</v>
      </c>
      <c r="D22" s="99" t="s">
        <v>60</v>
      </c>
      <c r="E22" s="233" t="s">
        <v>720</v>
      </c>
      <c r="I22" s="99">
        <v>50</v>
      </c>
      <c r="M22" s="99" t="str">
        <f t="shared" si="0"/>
        <v>FR France</v>
      </c>
      <c r="N22" s="99" t="s">
        <v>82</v>
      </c>
      <c r="O22" s="99" t="s">
        <v>106</v>
      </c>
      <c r="P22" s="99" t="s">
        <v>74</v>
      </c>
      <c r="Q22" s="99" t="s">
        <v>82</v>
      </c>
      <c r="R22" s="99" t="s">
        <v>74</v>
      </c>
    </row>
    <row r="23" spans="1:18" x14ac:dyDescent="0.2">
      <c r="E23" s="233"/>
      <c r="I23" s="99">
        <v>100</v>
      </c>
      <c r="M23" s="99" t="str">
        <f t="shared" si="0"/>
        <v>IL Israel</v>
      </c>
      <c r="N23" s="99" t="s">
        <v>87</v>
      </c>
      <c r="O23" s="99" t="s">
        <v>71</v>
      </c>
      <c r="P23" s="99" t="s">
        <v>71</v>
      </c>
      <c r="Q23" s="99" t="s">
        <v>87</v>
      </c>
      <c r="R23" s="99" t="s">
        <v>71</v>
      </c>
    </row>
    <row r="24" spans="1:18" x14ac:dyDescent="0.2">
      <c r="E24" s="233"/>
      <c r="I24" s="99">
        <v>150</v>
      </c>
      <c r="M24" s="99" t="str">
        <f t="shared" si="0"/>
        <v>IN India</v>
      </c>
      <c r="N24" s="99" t="s">
        <v>84</v>
      </c>
      <c r="O24" s="99" t="s">
        <v>67</v>
      </c>
      <c r="P24" s="99" t="s">
        <v>108</v>
      </c>
      <c r="Q24" s="99" t="s">
        <v>84</v>
      </c>
      <c r="R24" s="99" t="s">
        <v>108</v>
      </c>
    </row>
    <row r="25" spans="1:18" x14ac:dyDescent="0.2">
      <c r="A25" s="103" t="s">
        <v>165</v>
      </c>
      <c r="B25" s="101" t="str">
        <f>IF(val.SelectedLanguage="Deutsch",C25,IF(val.SelectedLanguage="English",D25,E25))</f>
        <v>New quote</v>
      </c>
      <c r="C25" s="99" t="s">
        <v>20</v>
      </c>
      <c r="D25" s="99" t="s">
        <v>54</v>
      </c>
      <c r="E25" s="233" t="s">
        <v>721</v>
      </c>
      <c r="I25" s="99">
        <v>250</v>
      </c>
      <c r="M25" s="99" t="str">
        <f t="shared" si="0"/>
        <v>IT Italy</v>
      </c>
      <c r="N25" s="99" t="s">
        <v>85</v>
      </c>
      <c r="O25" s="99" t="s">
        <v>107</v>
      </c>
      <c r="P25" s="99" t="s">
        <v>78</v>
      </c>
      <c r="Q25" s="99" t="s">
        <v>85</v>
      </c>
      <c r="R25" s="99" t="s">
        <v>78</v>
      </c>
    </row>
    <row r="26" spans="1:18" x14ac:dyDescent="0.2">
      <c r="B26" s="101" t="str">
        <f>IF(val.SelectedLanguage="Deutsch",C26,IF(val.SelectedLanguage="English",D26,E26))</f>
        <v>Prolongation of contract</v>
      </c>
      <c r="C26" s="99" t="s">
        <v>21</v>
      </c>
      <c r="D26" s="99" t="s">
        <v>55</v>
      </c>
      <c r="E26" s="233" t="s">
        <v>722</v>
      </c>
      <c r="I26" s="99">
        <v>300</v>
      </c>
      <c r="M26" s="99" t="str">
        <f t="shared" si="0"/>
        <v>NL Netherlands</v>
      </c>
      <c r="N26" s="99" t="s">
        <v>70</v>
      </c>
      <c r="O26" s="99" t="s">
        <v>109</v>
      </c>
      <c r="P26" s="99" t="s">
        <v>77</v>
      </c>
      <c r="Q26" s="99" t="s">
        <v>70</v>
      </c>
      <c r="R26" s="99" t="s">
        <v>77</v>
      </c>
    </row>
    <row r="27" spans="1:18" x14ac:dyDescent="0.2">
      <c r="B27" s="101" t="str">
        <f>IF(val.SelectedLanguage="Deutsch",C27,IF(val.SelectedLanguage="English",D27,E27))</f>
        <v>Run-off coverage</v>
      </c>
      <c r="C27" s="99" t="s">
        <v>22</v>
      </c>
      <c r="D27" s="99" t="s">
        <v>125</v>
      </c>
      <c r="E27" s="233" t="s">
        <v>723</v>
      </c>
      <c r="I27" s="99">
        <v>500</v>
      </c>
      <c r="M27" s="99" t="str">
        <f t="shared" si="0"/>
        <v>NO Norway</v>
      </c>
      <c r="N27" s="99" t="s">
        <v>92</v>
      </c>
      <c r="O27" s="99" t="s">
        <v>110</v>
      </c>
      <c r="P27" s="99" t="s">
        <v>111</v>
      </c>
      <c r="Q27" s="99" t="s">
        <v>92</v>
      </c>
      <c r="R27" s="99" t="s">
        <v>111</v>
      </c>
    </row>
    <row r="28" spans="1:18" x14ac:dyDescent="0.2">
      <c r="B28" s="101" t="str">
        <f>IF(val.SelectedLanguage="Deutsch",C28,IF(val.SelectedLanguage="English",D28,E28))</f>
        <v>No prolongation of contract</v>
      </c>
      <c r="C28" s="99" t="s">
        <v>126</v>
      </c>
      <c r="D28" s="99" t="s">
        <v>127</v>
      </c>
      <c r="E28" s="233" t="s">
        <v>724</v>
      </c>
      <c r="I28" s="99">
        <v>750</v>
      </c>
      <c r="M28" s="99" t="str">
        <f t="shared" si="0"/>
        <v>PL Poland</v>
      </c>
      <c r="N28" s="99" t="s">
        <v>80</v>
      </c>
      <c r="O28" s="99" t="s">
        <v>112</v>
      </c>
      <c r="P28" s="99" t="s">
        <v>113</v>
      </c>
      <c r="Q28" s="99" t="s">
        <v>80</v>
      </c>
      <c r="R28" s="99" t="s">
        <v>112</v>
      </c>
    </row>
    <row r="29" spans="1:18" x14ac:dyDescent="0.2">
      <c r="E29" s="233"/>
      <c r="M29" s="99" t="str">
        <f t="shared" si="0"/>
        <v>RO Romania</v>
      </c>
      <c r="N29" s="99" t="s">
        <v>88</v>
      </c>
      <c r="O29" s="99" t="s">
        <v>114</v>
      </c>
      <c r="P29" s="99" t="s">
        <v>72</v>
      </c>
      <c r="Q29" s="99" t="s">
        <v>88</v>
      </c>
      <c r="R29" s="99" t="s">
        <v>72</v>
      </c>
    </row>
    <row r="30" spans="1:18" x14ac:dyDescent="0.2">
      <c r="A30" s="105" t="s">
        <v>200</v>
      </c>
      <c r="B30" s="104" t="str">
        <f t="shared" ref="B30:B36" si="1">IF(val.SelectedLanguage="Deutsch",C30,IF(val.SelectedLanguage="English",D30,E30))</f>
        <v>2. Insured company</v>
      </c>
      <c r="C30" s="104" t="s">
        <v>30</v>
      </c>
      <c r="D30" s="104" t="s">
        <v>122</v>
      </c>
      <c r="E30" s="234" t="s">
        <v>725</v>
      </c>
      <c r="F30" s="104"/>
      <c r="M30" s="99" t="str">
        <f t="shared" si="0"/>
        <v>TR Turkey</v>
      </c>
      <c r="N30" s="99" t="s">
        <v>89</v>
      </c>
      <c r="O30" s="99" t="s">
        <v>115</v>
      </c>
      <c r="P30" s="99" t="s">
        <v>73</v>
      </c>
      <c r="Q30" s="99" t="s">
        <v>89</v>
      </c>
      <c r="R30" s="99" t="s">
        <v>73</v>
      </c>
    </row>
    <row r="31" spans="1:18" x14ac:dyDescent="0.2">
      <c r="A31" s="103" t="s">
        <v>61</v>
      </c>
      <c r="B31" s="101" t="str">
        <f t="shared" si="1"/>
        <v>Company name:</v>
      </c>
      <c r="C31" s="99" t="s">
        <v>8</v>
      </c>
      <c r="D31" s="99" t="s">
        <v>392</v>
      </c>
      <c r="E31" s="233" t="s">
        <v>726</v>
      </c>
      <c r="M31" s="99" t="str">
        <f>N31&amp;" "&amp;IF(val.SelectedLanguage="Deutsch",O31,P31)</f>
        <v>UK United Kingdom</v>
      </c>
      <c r="N31" s="99" t="s">
        <v>76</v>
      </c>
      <c r="O31" s="99" t="s">
        <v>117</v>
      </c>
      <c r="P31" s="99" t="s">
        <v>116</v>
      </c>
      <c r="Q31" s="99" t="s">
        <v>76</v>
      </c>
      <c r="R31" s="99" t="s">
        <v>148</v>
      </c>
    </row>
    <row r="32" spans="1:18" x14ac:dyDescent="0.2">
      <c r="A32" s="103" t="s">
        <v>62</v>
      </c>
      <c r="B32" s="101" t="str">
        <f t="shared" si="1"/>
        <v>Street No.:</v>
      </c>
      <c r="C32" s="99" t="s">
        <v>9</v>
      </c>
      <c r="D32" s="99" t="s">
        <v>64</v>
      </c>
      <c r="E32" s="233" t="s">
        <v>727</v>
      </c>
      <c r="M32" s="99" t="str">
        <f>N32&amp;" "&amp;IF(val.SelectedLanguage="Deutsch",O32,P32)</f>
        <v>US United States</v>
      </c>
      <c r="N32" s="99" t="s">
        <v>152</v>
      </c>
      <c r="O32" s="99" t="s">
        <v>149</v>
      </c>
      <c r="P32" s="99" t="s">
        <v>153</v>
      </c>
      <c r="Q32" s="99" t="s">
        <v>152</v>
      </c>
      <c r="R32" s="99" t="s">
        <v>149</v>
      </c>
    </row>
    <row r="33" spans="1:18" x14ac:dyDescent="0.2">
      <c r="A33" s="103" t="s">
        <v>174</v>
      </c>
      <c r="B33" s="101" t="str">
        <f t="shared" si="1"/>
        <v>ZIP:</v>
      </c>
      <c r="C33" s="99" t="s">
        <v>177</v>
      </c>
      <c r="D33" s="99" t="s">
        <v>176</v>
      </c>
      <c r="E33" s="233" t="s">
        <v>728</v>
      </c>
      <c r="M33" s="99" t="str">
        <f>N33&amp;" "&amp;IF(val.SelectedLanguage="Deutsch",O33,P33)</f>
        <v>XX Other</v>
      </c>
      <c r="N33" s="99" t="s">
        <v>338</v>
      </c>
      <c r="O33" s="99" t="s">
        <v>340</v>
      </c>
      <c r="P33" s="99" t="s">
        <v>339</v>
      </c>
      <c r="Q33" s="99" t="s">
        <v>338</v>
      </c>
      <c r="R33" s="99" t="s">
        <v>339</v>
      </c>
    </row>
    <row r="34" spans="1:18" x14ac:dyDescent="0.2">
      <c r="A34" s="103" t="s">
        <v>175</v>
      </c>
      <c r="B34" s="101" t="str">
        <f t="shared" si="1"/>
        <v>City:</v>
      </c>
      <c r="C34" s="99" t="s">
        <v>178</v>
      </c>
      <c r="D34" s="99" t="s">
        <v>124</v>
      </c>
      <c r="E34" s="233" t="s">
        <v>729</v>
      </c>
    </row>
    <row r="35" spans="1:18" x14ac:dyDescent="0.2">
      <c r="A35" s="103" t="s">
        <v>63</v>
      </c>
      <c r="B35" s="101" t="str">
        <f t="shared" si="1"/>
        <v>Country:</v>
      </c>
      <c r="C35" s="99" t="s">
        <v>66</v>
      </c>
      <c r="D35" s="99" t="s">
        <v>65</v>
      </c>
      <c r="E35" s="233" t="s">
        <v>730</v>
      </c>
    </row>
    <row r="36" spans="1:18" x14ac:dyDescent="0.2">
      <c r="A36" s="103" t="s">
        <v>179</v>
      </c>
      <c r="B36" s="101" t="str">
        <f t="shared" si="1"/>
        <v>used for letter address:</v>
      </c>
      <c r="C36" s="99" t="s">
        <v>167</v>
      </c>
      <c r="D36" s="99" t="s">
        <v>180</v>
      </c>
      <c r="E36" s="233" t="s">
        <v>731</v>
      </c>
    </row>
    <row r="37" spans="1:18" x14ac:dyDescent="0.2">
      <c r="E37" s="233"/>
    </row>
    <row r="38" spans="1:18" x14ac:dyDescent="0.2">
      <c r="A38" s="105" t="s">
        <v>201</v>
      </c>
      <c r="B38" s="104" t="str">
        <f t="shared" ref="B38:B48" si="2">IF(val.SelectedLanguage="Deutsch",C38,IF(val.SelectedLanguage="English",D38,E38))</f>
        <v>2.1 Contact (client or representative)</v>
      </c>
      <c r="C38" s="104" t="s">
        <v>31</v>
      </c>
      <c r="D38" s="104" t="s">
        <v>401</v>
      </c>
      <c r="E38" s="234" t="s">
        <v>732</v>
      </c>
      <c r="F38" s="104"/>
    </row>
    <row r="39" spans="1:18" x14ac:dyDescent="0.2">
      <c r="A39" s="103" t="s">
        <v>197</v>
      </c>
      <c r="B39" s="101" t="str">
        <f t="shared" si="2"/>
        <v>Type of contact:</v>
      </c>
      <c r="C39" s="99" t="s">
        <v>198</v>
      </c>
      <c r="D39" s="99" t="s">
        <v>199</v>
      </c>
      <c r="E39" s="233" t="s">
        <v>733</v>
      </c>
    </row>
    <row r="40" spans="1:18" x14ac:dyDescent="0.2">
      <c r="A40" s="103" t="s">
        <v>187</v>
      </c>
      <c r="B40" s="101" t="str">
        <f t="shared" si="2"/>
        <v>Client</v>
      </c>
      <c r="C40" s="99" t="s">
        <v>183</v>
      </c>
      <c r="D40" s="99" t="s">
        <v>185</v>
      </c>
      <c r="E40" s="233" t="s">
        <v>185</v>
      </c>
    </row>
    <row r="41" spans="1:18" x14ac:dyDescent="0.2">
      <c r="B41" s="101" t="str">
        <f t="shared" si="2"/>
        <v>Broker</v>
      </c>
      <c r="C41" s="99" t="s">
        <v>184</v>
      </c>
      <c r="D41" s="99" t="s">
        <v>186</v>
      </c>
      <c r="E41" s="233" t="s">
        <v>734</v>
      </c>
    </row>
    <row r="42" spans="1:18" x14ac:dyDescent="0.2">
      <c r="B42" s="101" t="str">
        <f t="shared" si="2"/>
        <v>Other</v>
      </c>
      <c r="C42" s="99" t="s">
        <v>341</v>
      </c>
      <c r="D42" s="99" t="s">
        <v>339</v>
      </c>
      <c r="E42" s="233" t="s">
        <v>735</v>
      </c>
    </row>
    <row r="43" spans="1:18" x14ac:dyDescent="0.2">
      <c r="A43" s="99" t="s">
        <v>189</v>
      </c>
      <c r="B43" s="101" t="str">
        <f t="shared" si="2"/>
        <v>Last name:</v>
      </c>
      <c r="C43" s="99" t="s">
        <v>182</v>
      </c>
      <c r="D43" s="99" t="s">
        <v>390</v>
      </c>
      <c r="E43" s="233" t="s">
        <v>736</v>
      </c>
    </row>
    <row r="44" spans="1:18" x14ac:dyDescent="0.2">
      <c r="A44" s="99" t="s">
        <v>188</v>
      </c>
      <c r="B44" s="101" t="str">
        <f t="shared" si="2"/>
        <v>First name:</v>
      </c>
      <c r="C44" s="99" t="s">
        <v>133</v>
      </c>
      <c r="D44" s="99" t="s">
        <v>391</v>
      </c>
      <c r="E44" s="233" t="s">
        <v>737</v>
      </c>
    </row>
    <row r="45" spans="1:18" x14ac:dyDescent="0.2">
      <c r="A45" s="99" t="s">
        <v>190</v>
      </c>
      <c r="B45" s="101" t="str">
        <f t="shared" si="2"/>
        <v>Title:</v>
      </c>
      <c r="C45" s="99" t="s">
        <v>123</v>
      </c>
      <c r="D45" s="99" t="s">
        <v>394</v>
      </c>
      <c r="E45" s="233" t="s">
        <v>738</v>
      </c>
    </row>
    <row r="46" spans="1:18" x14ac:dyDescent="0.2">
      <c r="A46" s="99" t="s">
        <v>196</v>
      </c>
      <c r="B46" s="101" t="str">
        <f t="shared" si="2"/>
        <v>Company (different from 2.):</v>
      </c>
      <c r="C46" s="99" t="s">
        <v>192</v>
      </c>
      <c r="D46" s="99" t="s">
        <v>191</v>
      </c>
      <c r="E46" s="233" t="s">
        <v>739</v>
      </c>
    </row>
    <row r="47" spans="1:18" x14ac:dyDescent="0.2">
      <c r="A47" s="99" t="s">
        <v>193</v>
      </c>
      <c r="B47" s="101" t="str">
        <f t="shared" si="2"/>
        <v>Phone:</v>
      </c>
      <c r="C47" s="99" t="s">
        <v>10</v>
      </c>
      <c r="D47" s="99" t="s">
        <v>195</v>
      </c>
      <c r="E47" s="233" t="s">
        <v>740</v>
      </c>
    </row>
    <row r="48" spans="1:18" x14ac:dyDescent="0.2">
      <c r="A48" s="99" t="s">
        <v>194</v>
      </c>
      <c r="B48" s="101" t="str">
        <f t="shared" si="2"/>
        <v>E-Mail:</v>
      </c>
      <c r="C48" s="99" t="s">
        <v>11</v>
      </c>
      <c r="D48" s="99" t="s">
        <v>11</v>
      </c>
      <c r="E48" s="233" t="s">
        <v>11</v>
      </c>
    </row>
    <row r="49" spans="1:6" x14ac:dyDescent="0.2">
      <c r="E49" s="233"/>
    </row>
    <row r="50" spans="1:6" x14ac:dyDescent="0.2">
      <c r="A50" s="105" t="s">
        <v>202</v>
      </c>
      <c r="B50" s="104" t="str">
        <f t="shared" ref="B50:B56" si="3">IF(val.SelectedLanguage="Deutsch",C50,IF(val.SelectedLanguage="English",D50,E50))</f>
        <v>2.2 Billing address (if different to 1.)</v>
      </c>
      <c r="C50" s="104" t="s">
        <v>32</v>
      </c>
      <c r="D50" s="104" t="s">
        <v>203</v>
      </c>
      <c r="E50" s="234" t="s">
        <v>741</v>
      </c>
      <c r="F50" s="104"/>
    </row>
    <row r="51" spans="1:6" x14ac:dyDescent="0.2">
      <c r="A51" s="103" t="s">
        <v>61</v>
      </c>
      <c r="B51" s="101" t="str">
        <f t="shared" si="3"/>
        <v>Company name:</v>
      </c>
      <c r="C51" s="99" t="s">
        <v>8</v>
      </c>
      <c r="D51" s="99" t="s">
        <v>392</v>
      </c>
      <c r="E51" s="233" t="s">
        <v>726</v>
      </c>
    </row>
    <row r="52" spans="1:6" x14ac:dyDescent="0.2">
      <c r="A52" s="103" t="s">
        <v>62</v>
      </c>
      <c r="B52" s="101" t="str">
        <f t="shared" si="3"/>
        <v>Street No.:</v>
      </c>
      <c r="C52" s="99" t="s">
        <v>9</v>
      </c>
      <c r="D52" s="99" t="s">
        <v>64</v>
      </c>
      <c r="E52" s="233" t="s">
        <v>727</v>
      </c>
    </row>
    <row r="53" spans="1:6" x14ac:dyDescent="0.2">
      <c r="A53" s="103" t="s">
        <v>174</v>
      </c>
      <c r="B53" s="101" t="str">
        <f t="shared" si="3"/>
        <v>ZIP:</v>
      </c>
      <c r="C53" s="99" t="s">
        <v>177</v>
      </c>
      <c r="D53" s="99" t="s">
        <v>176</v>
      </c>
      <c r="E53" s="233" t="s">
        <v>728</v>
      </c>
    </row>
    <row r="54" spans="1:6" x14ac:dyDescent="0.2">
      <c r="A54" s="103" t="s">
        <v>175</v>
      </c>
      <c r="B54" s="101" t="str">
        <f t="shared" si="3"/>
        <v>City:</v>
      </c>
      <c r="C54" s="99" t="s">
        <v>178</v>
      </c>
      <c r="D54" s="99" t="s">
        <v>124</v>
      </c>
      <c r="E54" s="233" t="s">
        <v>729</v>
      </c>
    </row>
    <row r="55" spans="1:6" x14ac:dyDescent="0.2">
      <c r="A55" s="103" t="s">
        <v>63</v>
      </c>
      <c r="B55" s="101" t="str">
        <f t="shared" si="3"/>
        <v>Country:</v>
      </c>
      <c r="C55" s="99" t="s">
        <v>66</v>
      </c>
      <c r="D55" s="99" t="s">
        <v>65</v>
      </c>
      <c r="E55" s="233" t="s">
        <v>730</v>
      </c>
    </row>
    <row r="56" spans="1:6" x14ac:dyDescent="0.2">
      <c r="A56" s="103" t="s">
        <v>179</v>
      </c>
      <c r="B56" s="101" t="str">
        <f t="shared" si="3"/>
        <v>used for letter address:</v>
      </c>
      <c r="C56" s="99" t="s">
        <v>167</v>
      </c>
      <c r="D56" s="99" t="s">
        <v>180</v>
      </c>
      <c r="E56" s="233" t="s">
        <v>731</v>
      </c>
    </row>
    <row r="57" spans="1:6" x14ac:dyDescent="0.2">
      <c r="E57" s="233"/>
    </row>
    <row r="58" spans="1:6" x14ac:dyDescent="0.2">
      <c r="A58" s="105" t="s">
        <v>204</v>
      </c>
      <c r="B58" s="104" t="str">
        <f>IF(val.SelectedLanguage="Deutsch",C58,IF(val.SelectedLanguage="English",D58,E58))</f>
        <v>3. Business activities</v>
      </c>
      <c r="C58" s="104" t="s">
        <v>33</v>
      </c>
      <c r="D58" s="104" t="s">
        <v>211</v>
      </c>
      <c r="E58" s="234" t="s">
        <v>817</v>
      </c>
      <c r="F58" s="104"/>
    </row>
    <row r="59" spans="1:6" x14ac:dyDescent="0.2">
      <c r="A59" s="103" t="s">
        <v>205</v>
      </c>
      <c r="B59" s="101" t="str">
        <f>IF(val.SelectedLanguage="Deutsch",C59,IF(val.SelectedLanguage="English",D59,E59))</f>
        <v>Note:</v>
      </c>
      <c r="C59" s="99" t="s">
        <v>26</v>
      </c>
      <c r="D59" s="99" t="s">
        <v>210</v>
      </c>
      <c r="E59" s="233" t="s">
        <v>742</v>
      </c>
    </row>
    <row r="60" spans="1:6" x14ac:dyDescent="0.2">
      <c r="A60" s="103" t="s">
        <v>206</v>
      </c>
      <c r="B60" s="101" t="str">
        <f>IF(val.SelectedLanguage="Deutsch",C60,IF(val.SelectedLanguage="English",D60,E60))</f>
        <v>No quotation will be issued for:</v>
      </c>
      <c r="C60" s="99" t="s">
        <v>27</v>
      </c>
      <c r="D60" s="99" t="s">
        <v>402</v>
      </c>
      <c r="E60" s="233" t="s">
        <v>818</v>
      </c>
    </row>
    <row r="61" spans="1:6" x14ac:dyDescent="0.2">
      <c r="A61" s="103" t="s">
        <v>207</v>
      </c>
      <c r="B61" s="101" t="str">
        <f>IF(val.SelectedLanguage="Deutsch",C61,IF(val.SelectedLanguage="English",D61,E61))</f>
        <v>Service provider at airports, supplier for ground equipment</v>
      </c>
      <c r="C61" s="99" t="s">
        <v>388</v>
      </c>
      <c r="D61" s="99" t="s">
        <v>403</v>
      </c>
      <c r="E61" s="233" t="s">
        <v>819</v>
      </c>
    </row>
    <row r="62" spans="1:6" x14ac:dyDescent="0.2">
      <c r="A62" s="103" t="s">
        <v>208</v>
      </c>
      <c r="B62" s="101" t="str">
        <f>IF(val.SelectedLanguage="Deutsch",C62,IF(val.SelectedLanguage="English",D62,E62))</f>
        <v>Coverage is possible for Tier 1 and Tier 2 suppliers only.</v>
      </c>
      <c r="C62" s="99" t="s">
        <v>29</v>
      </c>
      <c r="D62" s="99" t="s">
        <v>209</v>
      </c>
      <c r="E62" s="233" t="s">
        <v>820</v>
      </c>
    </row>
    <row r="63" spans="1:6" x14ac:dyDescent="0.2">
      <c r="E63" s="233"/>
    </row>
    <row r="64" spans="1:6" x14ac:dyDescent="0.2">
      <c r="A64" s="105" t="s">
        <v>212</v>
      </c>
      <c r="B64" s="104" t="str">
        <f>IF(val.SelectedLanguage="Deutsch",C64,IF(val.SelectedLanguage="English",D64,E64))</f>
        <v>4. Additional companies to be insured</v>
      </c>
      <c r="C64" s="104" t="s">
        <v>34</v>
      </c>
      <c r="D64" s="104" t="s">
        <v>213</v>
      </c>
      <c r="E64" s="234" t="s">
        <v>743</v>
      </c>
      <c r="F64" s="104"/>
    </row>
    <row r="65" spans="1:18" x14ac:dyDescent="0.2">
      <c r="A65" s="103" t="s">
        <v>215</v>
      </c>
      <c r="B65" s="101" t="str">
        <f>IF(val.SelectedLanguage="Deutsch",C65,IF(val.SelectedLanguage="English",D65,E65))</f>
        <v>For companies residing in the USA the TRIA questionnaire must be filled out:</v>
      </c>
      <c r="C65" s="99" t="s">
        <v>421</v>
      </c>
      <c r="D65" s="99" t="s">
        <v>422</v>
      </c>
      <c r="E65" s="233" t="s">
        <v>744</v>
      </c>
    </row>
    <row r="66" spans="1:18" x14ac:dyDescent="0.2">
      <c r="A66" s="103" t="s">
        <v>216</v>
      </c>
      <c r="B66" s="101" t="str">
        <f>IF(val.SelectedLanguage="Deutsch",C66,IF(val.SelectedLanguage="English",D66,E66))</f>
        <v>Click here</v>
      </c>
      <c r="C66" s="99" t="s">
        <v>132</v>
      </c>
      <c r="D66" s="99" t="s">
        <v>217</v>
      </c>
      <c r="E66" s="233" t="s">
        <v>745</v>
      </c>
    </row>
    <row r="67" spans="1:18" x14ac:dyDescent="0.2">
      <c r="A67" s="103" t="s">
        <v>214</v>
      </c>
      <c r="E67" s="235"/>
    </row>
    <row r="68" spans="1:18" x14ac:dyDescent="0.2">
      <c r="E68" s="235"/>
    </row>
    <row r="69" spans="1:18" x14ac:dyDescent="0.2">
      <c r="A69" s="103" t="s">
        <v>494</v>
      </c>
      <c r="B69" s="101" t="str">
        <f>IF(val.SelectedLanguage="Deutsch",C69,IF(val.SelectedLanguage="English",D69,E69))</f>
        <v>For companies located outside the EU please answer questions regarding local policies (section 9)</v>
      </c>
      <c r="C69" s="99" t="s">
        <v>801</v>
      </c>
      <c r="D69" s="99" t="s">
        <v>802</v>
      </c>
      <c r="E69" s="233" t="s">
        <v>845</v>
      </c>
      <c r="I69" s="99" t="s">
        <v>139</v>
      </c>
      <c r="J69" s="99" t="s">
        <v>140</v>
      </c>
      <c r="M69" s="99" t="str">
        <f t="shared" ref="M69" si="4">N69&amp;" "&amp;IF(val.SelectedLanguage="Deutsch",O69,P69)</f>
        <v>BE Belgium</v>
      </c>
      <c r="N69" s="99" t="s">
        <v>83</v>
      </c>
      <c r="O69" s="99" t="s">
        <v>97</v>
      </c>
      <c r="P69" s="99" t="s">
        <v>94</v>
      </c>
      <c r="Q69" s="99" t="s">
        <v>83</v>
      </c>
      <c r="R69" s="99" t="s">
        <v>94</v>
      </c>
    </row>
    <row r="70" spans="1:18" x14ac:dyDescent="0.2">
      <c r="A70" s="105" t="s">
        <v>219</v>
      </c>
      <c r="B70" s="104" t="str">
        <f>IF(val.SelectedLanguage="Deutsch",C70,IF(val.SelectedLanguage="English",D70,E70))</f>
        <v>4.1 Own subsidiaries to be included into contract</v>
      </c>
      <c r="C70" s="104" t="s">
        <v>493</v>
      </c>
      <c r="D70" s="104" t="s">
        <v>218</v>
      </c>
      <c r="E70" s="234" t="s">
        <v>746</v>
      </c>
      <c r="F70" s="104"/>
    </row>
    <row r="71" spans="1:18" x14ac:dyDescent="0.2">
      <c r="A71" s="99" t="s">
        <v>220</v>
      </c>
      <c r="B71" s="101" t="str">
        <f>IF(val.SelectedLanguage="Deutsch",C71,IF(val.SelectedLanguage="English",D71,E71))</f>
        <v>Company name</v>
      </c>
      <c r="C71" s="99" t="s">
        <v>16</v>
      </c>
      <c r="D71" s="99" t="s">
        <v>393</v>
      </c>
      <c r="E71" s="233" t="s">
        <v>726</v>
      </c>
    </row>
    <row r="72" spans="1:18" x14ac:dyDescent="0.2">
      <c r="A72" s="99" t="s">
        <v>222</v>
      </c>
      <c r="B72" s="101" t="str">
        <f>IF(val.SelectedLanguage="Deutsch",C72,IF(val.SelectedLanguage="English",D72,E72))</f>
        <v>Postal address incl. country</v>
      </c>
      <c r="C72" s="99" t="s">
        <v>224</v>
      </c>
      <c r="D72" s="99" t="s">
        <v>225</v>
      </c>
      <c r="E72" s="233" t="s">
        <v>747</v>
      </c>
    </row>
    <row r="73" spans="1:18" x14ac:dyDescent="0.2">
      <c r="A73" s="99" t="s">
        <v>221</v>
      </c>
      <c r="B73" s="101" t="str">
        <f>IF(val.SelectedLanguage="Deutsch",C73,IF(val.SelectedLanguage="English",D73,E73))</f>
        <v>Business activities</v>
      </c>
      <c r="C73" s="99" t="s">
        <v>14</v>
      </c>
      <c r="D73" s="99" t="s">
        <v>223</v>
      </c>
      <c r="E73" s="233" t="s">
        <v>821</v>
      </c>
    </row>
    <row r="74" spans="1:18" x14ac:dyDescent="0.2">
      <c r="E74" s="233"/>
    </row>
    <row r="75" spans="1:18" x14ac:dyDescent="0.2">
      <c r="A75" s="105" t="s">
        <v>230</v>
      </c>
      <c r="B75" s="104" t="str">
        <f>IF(val.SelectedLanguage="Deutsch",C75,IF(val.SelectedLanguage="English",D75,E75))</f>
        <v>4.2 Contractors to be included into contract</v>
      </c>
      <c r="C75" s="104" t="s">
        <v>495</v>
      </c>
      <c r="D75" s="196" t="s">
        <v>496</v>
      </c>
      <c r="E75" s="236" t="s">
        <v>748</v>
      </c>
      <c r="F75" s="104"/>
    </row>
    <row r="76" spans="1:18" x14ac:dyDescent="0.2">
      <c r="E76" s="233"/>
    </row>
    <row r="77" spans="1:18" x14ac:dyDescent="0.2">
      <c r="A77" s="103" t="s">
        <v>226</v>
      </c>
      <c r="B77" s="101" t="str">
        <f>IF(val.SelectedLanguage="Deutsch",C77,IF(val.SelectedLanguage="English",D77,E77))</f>
        <v>Contract manufacturing / Own specification</v>
      </c>
      <c r="C77" s="99" t="s">
        <v>228</v>
      </c>
      <c r="D77" s="99" t="s">
        <v>229</v>
      </c>
      <c r="E77" s="233" t="s">
        <v>822</v>
      </c>
    </row>
    <row r="78" spans="1:18" x14ac:dyDescent="0.2">
      <c r="A78" s="103" t="s">
        <v>168</v>
      </c>
      <c r="B78" s="101" t="str">
        <f>IF(val.SelectedLanguage="Deutsch",C78,IF(val.SelectedLanguage="English",D78,E78))</f>
        <v>Contract manufacturing</v>
      </c>
      <c r="C78" s="99" t="s">
        <v>128</v>
      </c>
      <c r="D78" s="99" t="s">
        <v>170</v>
      </c>
      <c r="E78" s="233" t="s">
        <v>823</v>
      </c>
    </row>
    <row r="79" spans="1:18" x14ac:dyDescent="0.2">
      <c r="B79" s="101" t="str">
        <f>IF(val.SelectedLanguage="Deutsch",C79,IF(val.SelectedLanguage="English",D79,E79))</f>
        <v>Own specification</v>
      </c>
      <c r="C79" s="99" t="s">
        <v>129</v>
      </c>
      <c r="D79" s="99" t="s">
        <v>169</v>
      </c>
      <c r="E79" s="233" t="s">
        <v>750</v>
      </c>
    </row>
    <row r="80" spans="1:18" x14ac:dyDescent="0.2">
      <c r="A80" s="103" t="s">
        <v>227</v>
      </c>
      <c r="B80" s="101" t="str">
        <f>IF(val.SelectedLanguage="Deutsch",C80,IF(val.SelectedLanguage="English",D80,E80))</f>
        <v>Turnover with insured company in EUR</v>
      </c>
      <c r="C80" s="99" t="s">
        <v>803</v>
      </c>
      <c r="D80" s="99" t="s">
        <v>804</v>
      </c>
      <c r="E80" s="233" t="s">
        <v>846</v>
      </c>
    </row>
    <row r="81" spans="1:6" x14ac:dyDescent="0.2">
      <c r="E81" s="233"/>
    </row>
    <row r="82" spans="1:6" x14ac:dyDescent="0.2">
      <c r="A82" s="103" t="s">
        <v>226</v>
      </c>
      <c r="B82" s="101" t="str">
        <f>IF(val.SelectedLanguage="Deutsch",C82,IF(val.SelectedLanguage="English",D82,E82))</f>
        <v>Contract manufacturing / Own specification</v>
      </c>
      <c r="C82" s="99" t="s">
        <v>228</v>
      </c>
      <c r="D82" s="99" t="s">
        <v>229</v>
      </c>
      <c r="E82" s="233" t="s">
        <v>749</v>
      </c>
    </row>
    <row r="83" spans="1:6" x14ac:dyDescent="0.2">
      <c r="E83" s="233"/>
    </row>
    <row r="84" spans="1:6" x14ac:dyDescent="0.2">
      <c r="A84" s="105" t="s">
        <v>790</v>
      </c>
      <c r="B84" s="104" t="str">
        <f>IF(val.SelectedLanguage="Deutsch",C84,IF(val.SelectedLanguage="English",D84,E84))</f>
        <v>5. Due Diligence Questions (Prior Review Countries)</v>
      </c>
      <c r="C84" s="104" t="s">
        <v>525</v>
      </c>
      <c r="D84" s="104" t="s">
        <v>526</v>
      </c>
      <c r="E84" s="234" t="s">
        <v>752</v>
      </c>
      <c r="F84" s="104"/>
    </row>
    <row r="85" spans="1:6" x14ac:dyDescent="0.2">
      <c r="E85" s="233"/>
    </row>
    <row r="86" spans="1:6" x14ac:dyDescent="0.2">
      <c r="A86" s="99" t="s">
        <v>527</v>
      </c>
      <c r="B86" s="101" t="str">
        <f t="shared" ref="B86:B91" si="5">IF(val.SelectedLanguage="Deutsch",C86,IF(val.SelectedLanguage="English",D86,E86))</f>
        <v>Has the Insured Company/applicant or an Additional Insured a registered office or  a subsidiary in Iran, Syria, Cuba, Russia, Ukraine (Crimea/Sevastopol), North Korea or Venezuela or is he /are they citizen(s) of one of these countries?</v>
      </c>
      <c r="C86" s="99" t="s">
        <v>805</v>
      </c>
      <c r="D86" s="99" t="s">
        <v>806</v>
      </c>
      <c r="E86" s="233" t="s">
        <v>847</v>
      </c>
    </row>
    <row r="87" spans="1:6" x14ac:dyDescent="0.2">
      <c r="A87" s="99" t="s">
        <v>528</v>
      </c>
      <c r="B87" s="101" t="str">
        <f t="shared" si="5"/>
        <v>Is the insured risk (e.g. premises, maintenance and repair activities, clients, contract partners) located in one of the a.m. countries or  do exist contracts with persons, companies or institutions situated in one of these countries?</v>
      </c>
      <c r="C87" s="99" t="s">
        <v>17</v>
      </c>
      <c r="D87" s="99" t="s">
        <v>396</v>
      </c>
      <c r="E87" s="233" t="s">
        <v>824</v>
      </c>
    </row>
    <row r="88" spans="1:6" x14ac:dyDescent="0.2">
      <c r="A88" s="99" t="s">
        <v>529</v>
      </c>
      <c r="B88" s="101" t="str">
        <f t="shared" si="5"/>
        <v>Is the Insured Company/applicant a subsidiary of a company with registered  office in one of the a.m. countries or owned by a person or institution of these countries?</v>
      </c>
      <c r="C88" s="99" t="s">
        <v>18</v>
      </c>
      <c r="D88" s="99" t="s">
        <v>397</v>
      </c>
      <c r="E88" s="233" t="s">
        <v>825</v>
      </c>
    </row>
    <row r="89" spans="1:6" x14ac:dyDescent="0.2">
      <c r="A89" s="99" t="s">
        <v>530</v>
      </c>
      <c r="B89" s="101" t="str">
        <f t="shared" si="5"/>
        <v>Are there any known (direct-) exports into of the a.m. countries or are these sales representatives or clients in these countries?</v>
      </c>
      <c r="C89" s="99" t="s">
        <v>19</v>
      </c>
      <c r="D89" s="99" t="s">
        <v>398</v>
      </c>
      <c r="E89" s="233" t="s">
        <v>826</v>
      </c>
    </row>
    <row r="90" spans="1:6" x14ac:dyDescent="0.2">
      <c r="A90" s="99" t="s">
        <v>537</v>
      </c>
      <c r="B90" s="101" t="str">
        <f t="shared" si="5"/>
        <v>&lt;&lt; Please fill out the countries!</v>
      </c>
      <c r="C90" s="99" t="s">
        <v>540</v>
      </c>
      <c r="D90" s="99" t="s">
        <v>539</v>
      </c>
      <c r="E90" s="233" t="s">
        <v>791</v>
      </c>
    </row>
    <row r="91" spans="1:6" x14ac:dyDescent="0.2">
      <c r="A91" s="99" t="s">
        <v>538</v>
      </c>
      <c r="B91" s="101" t="str">
        <f t="shared" si="5"/>
        <v xml:space="preserve">   If yes, in which countries?</v>
      </c>
      <c r="C91" s="99" t="s">
        <v>231</v>
      </c>
      <c r="D91" s="99" t="s">
        <v>399</v>
      </c>
      <c r="E91" s="233" t="s">
        <v>751</v>
      </c>
    </row>
    <row r="92" spans="1:6" x14ac:dyDescent="0.2">
      <c r="E92" s="233"/>
    </row>
    <row r="93" spans="1:6" x14ac:dyDescent="0.2">
      <c r="A93" s="105" t="s">
        <v>545</v>
      </c>
      <c r="B93" s="104" t="str">
        <f>IF(val.SelectedLanguage="Deutsch",C93,IF(val.SelectedLanguage="English",D93,E93))</f>
        <v>6. Inception date</v>
      </c>
      <c r="C93" s="104" t="s">
        <v>543</v>
      </c>
      <c r="D93" s="104" t="s">
        <v>544</v>
      </c>
      <c r="E93" s="234" t="s">
        <v>754</v>
      </c>
      <c r="F93" s="104"/>
    </row>
    <row r="94" spans="1:6" x14ac:dyDescent="0.2">
      <c r="E94" s="233"/>
    </row>
    <row r="95" spans="1:6" x14ac:dyDescent="0.2">
      <c r="A95" s="99" t="s">
        <v>546</v>
      </c>
      <c r="B95" s="101" t="str">
        <f>IF(val.SelectedLanguage="Deutsch",C95,IF(val.SelectedLanguage="English",D95,E95))</f>
        <v>Inception date:</v>
      </c>
      <c r="C95" s="99" t="s">
        <v>232</v>
      </c>
      <c r="D95" s="99" t="s">
        <v>395</v>
      </c>
      <c r="E95" s="233" t="s">
        <v>753</v>
      </c>
    </row>
    <row r="96" spans="1:6" x14ac:dyDescent="0.2">
      <c r="A96" s="99" t="s">
        <v>547</v>
      </c>
      <c r="B96" s="101" t="str">
        <f>IF(val.SelectedLanguage="Deutsch",C96,IF(val.SelectedLanguage="English",D96,E96))</f>
        <v>Note: In any case coverage will end on Oct., 15th, of every year!</v>
      </c>
      <c r="C96" s="99" t="s">
        <v>497</v>
      </c>
      <c r="D96" s="99" t="s">
        <v>850</v>
      </c>
      <c r="E96" s="233" t="s">
        <v>849</v>
      </c>
    </row>
    <row r="97" spans="1:6" x14ac:dyDescent="0.2">
      <c r="E97" s="233"/>
    </row>
    <row r="98" spans="1:6" x14ac:dyDescent="0.2">
      <c r="A98" s="105" t="s">
        <v>548</v>
      </c>
      <c r="B98" s="104" t="str">
        <f>IF(val.SelectedLanguage="Deutsch",C98,IF(val.SelectedLanguage="English",D98,E98))</f>
        <v>7. Limit of indemnity</v>
      </c>
      <c r="C98" s="104" t="s">
        <v>551</v>
      </c>
      <c r="D98" s="104" t="s">
        <v>552</v>
      </c>
      <c r="E98" s="234" t="s">
        <v>755</v>
      </c>
      <c r="F98" s="104"/>
    </row>
    <row r="99" spans="1:6" x14ac:dyDescent="0.2">
      <c r="E99" s="233"/>
    </row>
    <row r="100" spans="1:6" x14ac:dyDescent="0.2">
      <c r="A100" s="99" t="s">
        <v>549</v>
      </c>
      <c r="B100" s="101" t="str">
        <f>IF(val.SelectedLanguage="Deutsch",C100,IF(val.SelectedLanguage="English",D100,E100))</f>
        <v>Please select for which limit of indemnity you would like to receive a quotation:</v>
      </c>
      <c r="C100" s="99" t="s">
        <v>389</v>
      </c>
      <c r="D100" s="99" t="s">
        <v>404</v>
      </c>
      <c r="E100" s="233" t="s">
        <v>827</v>
      </c>
    </row>
    <row r="101" spans="1:6" x14ac:dyDescent="0.2">
      <c r="A101" s="99" t="s">
        <v>550</v>
      </c>
      <c r="B101" s="101" t="str">
        <f>IF(val.SelectedLanguage="Deutsch",C101,IF(val.SelectedLanguage="English",D101,E101))</f>
        <v>Note: For any limit of indemnity please fill out a single questionnaire to receive an alternative quotation! If a split of the insured sum is necessary, please give us note and information by mail.</v>
      </c>
      <c r="C101" s="99" t="s">
        <v>499</v>
      </c>
      <c r="D101" s="99" t="s">
        <v>498</v>
      </c>
      <c r="E101" s="233" t="s">
        <v>828</v>
      </c>
    </row>
    <row r="102" spans="1:6" x14ac:dyDescent="0.2">
      <c r="E102" s="233"/>
    </row>
    <row r="103" spans="1:6" x14ac:dyDescent="0.2">
      <c r="A103" s="105" t="s">
        <v>637</v>
      </c>
      <c r="B103" s="104" t="str">
        <f>IF(val.SelectedLanguage="Deutsch",C103,IF(val.SelectedLanguage="English",D103,E103))</f>
        <v>8. Net sales / revenue be covered (EUR)</v>
      </c>
      <c r="C103" s="104" t="s">
        <v>776</v>
      </c>
      <c r="D103" s="104" t="s">
        <v>777</v>
      </c>
      <c r="E103" s="234" t="s">
        <v>778</v>
      </c>
      <c r="F103" s="104"/>
    </row>
    <row r="104" spans="1:6" x14ac:dyDescent="0.2">
      <c r="A104" s="99" t="s">
        <v>807</v>
      </c>
      <c r="B104" s="101" t="str">
        <f>IF(val.SelectedLanguage="Deutsch",C104,IF(val.SelectedLanguage="English",D104,E104))</f>
        <v>Airbus group</v>
      </c>
      <c r="C104" s="99" t="s">
        <v>809</v>
      </c>
      <c r="D104" s="99" t="s">
        <v>810</v>
      </c>
      <c r="E104" s="233" t="s">
        <v>811</v>
      </c>
    </row>
    <row r="105" spans="1:6" x14ac:dyDescent="0.2">
      <c r="A105" s="99" t="s">
        <v>808</v>
      </c>
      <c r="B105" s="101" t="str">
        <f>IF(val.SelectedLanguage="Deutsch",C105,IF(val.SelectedLanguage="English",D105,E105))</f>
        <v>Other manufacturers</v>
      </c>
      <c r="C105" s="99" t="s">
        <v>841</v>
      </c>
      <c r="D105" s="99" t="s">
        <v>842</v>
      </c>
      <c r="E105" s="233" t="s">
        <v>843</v>
      </c>
    </row>
    <row r="106" spans="1:6" x14ac:dyDescent="0.2">
      <c r="E106" s="233"/>
    </row>
    <row r="107" spans="1:6" x14ac:dyDescent="0.2">
      <c r="A107" s="99" t="s">
        <v>638</v>
      </c>
      <c r="B107" s="101" t="str">
        <f>IF(val.SelectedLanguage="Deutsch",C107,IF(val.SelectedLanguage="English",D107,E107))</f>
        <v>Period: Estimated sales of aviation industry for the next insurance period (Oct, 15th to Oct, 15th of each year)</v>
      </c>
      <c r="C107" s="99" t="s">
        <v>23</v>
      </c>
      <c r="D107" s="99" t="s">
        <v>405</v>
      </c>
      <c r="E107" s="233" t="s">
        <v>756</v>
      </c>
    </row>
    <row r="108" spans="1:6" x14ac:dyDescent="0.2">
      <c r="A108" s="99" t="s">
        <v>639</v>
      </c>
      <c r="B108" s="101" t="str">
        <f>IF(val.SelectedLanguage="Deutsch",C108,IF(val.SelectedLanguage="English",D108,E108))</f>
        <v>Please fill in all relevant fields to garantuee a binding offer to be issued. Thank you!</v>
      </c>
      <c r="C108" s="99" t="s">
        <v>24</v>
      </c>
      <c r="D108" s="99" t="s">
        <v>406</v>
      </c>
      <c r="E108" s="233" t="s">
        <v>829</v>
      </c>
    </row>
    <row r="109" spans="1:6" x14ac:dyDescent="0.2">
      <c r="E109" s="233"/>
    </row>
    <row r="110" spans="1:6" x14ac:dyDescent="0.2">
      <c r="A110" s="99" t="s">
        <v>640</v>
      </c>
      <c r="B110" s="101">
        <f t="shared" ref="B110:B119" si="6">IF(val.SelectedLanguage="Deutsch",C110,IF(val.SelectedLanguage="English",D110,E110))</f>
        <v>0</v>
      </c>
      <c r="C110" s="124" t="s">
        <v>246</v>
      </c>
      <c r="E110" s="233"/>
    </row>
    <row r="111" spans="1:6" x14ac:dyDescent="0.2">
      <c r="A111" s="99" t="s">
        <v>641</v>
      </c>
      <c r="B111" s="101" t="str">
        <f t="shared" si="6"/>
        <v>Turnover ROW</v>
      </c>
      <c r="C111" s="99" t="s">
        <v>264</v>
      </c>
      <c r="D111" s="99" t="s">
        <v>326</v>
      </c>
      <c r="E111" s="233" t="s">
        <v>757</v>
      </c>
    </row>
    <row r="112" spans="1:6" x14ac:dyDescent="0.2">
      <c r="A112" s="99" t="s">
        <v>642</v>
      </c>
      <c r="B112" s="101" t="str">
        <f t="shared" si="6"/>
        <v>Turnover USA / CAN</v>
      </c>
      <c r="C112" s="99" t="s">
        <v>265</v>
      </c>
      <c r="D112" s="99" t="s">
        <v>327</v>
      </c>
      <c r="E112" s="233" t="s">
        <v>758</v>
      </c>
    </row>
    <row r="113" spans="1:5" x14ac:dyDescent="0.2">
      <c r="A113" s="99" t="s">
        <v>643</v>
      </c>
      <c r="B113" s="101" t="str">
        <f>IF(val.SelectedLanguage="Deutsch",C113,IF(val.SelectedLanguage="English",D113,E113))&amp;" "&amp;label.section8.Table.HeadlineAirbus</f>
        <v>Subtotal Airbus group</v>
      </c>
      <c r="C113" s="125" t="s">
        <v>812</v>
      </c>
      <c r="D113" s="125" t="s">
        <v>813</v>
      </c>
      <c r="E113" s="237" t="s">
        <v>814</v>
      </c>
    </row>
    <row r="114" spans="1:5" x14ac:dyDescent="0.2">
      <c r="A114" s="99" t="s">
        <v>644</v>
      </c>
      <c r="B114" s="101" t="str">
        <f t="shared" si="6"/>
        <v>Turnover ROW</v>
      </c>
      <c r="C114" s="99" t="s">
        <v>264</v>
      </c>
      <c r="D114" s="99" t="s">
        <v>326</v>
      </c>
      <c r="E114" s="233" t="s">
        <v>757</v>
      </c>
    </row>
    <row r="115" spans="1:5" x14ac:dyDescent="0.2">
      <c r="A115" s="99" t="s">
        <v>645</v>
      </c>
      <c r="B115" s="101" t="str">
        <f t="shared" si="6"/>
        <v>Turnover USA / CAN</v>
      </c>
      <c r="C115" s="99" t="s">
        <v>265</v>
      </c>
      <c r="D115" s="99" t="s">
        <v>327</v>
      </c>
      <c r="E115" s="233" t="s">
        <v>758</v>
      </c>
    </row>
    <row r="116" spans="1:5" x14ac:dyDescent="0.2">
      <c r="A116" s="99" t="s">
        <v>646</v>
      </c>
      <c r="B116" s="101" t="str">
        <f t="shared" si="6"/>
        <v>Empty column</v>
      </c>
      <c r="C116" s="124" t="s">
        <v>246</v>
      </c>
      <c r="D116" s="124" t="s">
        <v>328</v>
      </c>
      <c r="E116" s="238" t="s">
        <v>328</v>
      </c>
    </row>
    <row r="117" spans="1:5" x14ac:dyDescent="0.2">
      <c r="A117" s="99" t="s">
        <v>647</v>
      </c>
      <c r="B117" s="101" t="str">
        <f>IF(val.SelectedLanguage="Deutsch",C117,IF(val.SelectedLanguage="English",D117,E117))&amp;" "&amp;LOWER(LEFT(label.section8.Table.HeadlineNonAirbus,1))&amp;MID(label.section8.Table.HeadlineNonAirbus,2,100)</f>
        <v>Subtotal other manufacturers</v>
      </c>
      <c r="C117" s="125" t="s">
        <v>812</v>
      </c>
      <c r="D117" s="125" t="s">
        <v>813</v>
      </c>
      <c r="E117" s="237" t="s">
        <v>814</v>
      </c>
    </row>
    <row r="118" spans="1:5" x14ac:dyDescent="0.2">
      <c r="A118" s="99" t="s">
        <v>648</v>
      </c>
      <c r="B118" s="101" t="str">
        <f t="shared" si="6"/>
        <v>Empty column</v>
      </c>
      <c r="C118" s="124" t="s">
        <v>246</v>
      </c>
      <c r="D118" s="124" t="s">
        <v>328</v>
      </c>
      <c r="E118" s="238" t="s">
        <v>328</v>
      </c>
    </row>
    <row r="119" spans="1:5" x14ac:dyDescent="0.2">
      <c r="A119" s="99" t="s">
        <v>649</v>
      </c>
      <c r="B119" s="101" t="str">
        <f t="shared" si="6"/>
        <v>Plan sales to be insured</v>
      </c>
      <c r="C119" s="99" t="s">
        <v>241</v>
      </c>
      <c r="D119" s="99" t="s">
        <v>247</v>
      </c>
      <c r="E119" s="233" t="s">
        <v>759</v>
      </c>
    </row>
    <row r="120" spans="1:5" x14ac:dyDescent="0.2">
      <c r="E120" s="233"/>
    </row>
    <row r="121" spans="1:5" x14ac:dyDescent="0.2">
      <c r="A121" s="99" t="s">
        <v>650</v>
      </c>
      <c r="B121" s="101" t="str">
        <f t="shared" ref="B121:B128" si="7">IF(val.SelectedLanguage="Deutsch",C121,IF(val.SelectedLanguage="English",D121,E121))</f>
        <v>Aircraft civil</v>
      </c>
      <c r="C121" s="99" t="s">
        <v>1</v>
      </c>
      <c r="D121" s="99" t="s">
        <v>248</v>
      </c>
      <c r="E121" s="233" t="s">
        <v>760</v>
      </c>
    </row>
    <row r="122" spans="1:5" x14ac:dyDescent="0.2">
      <c r="A122" s="99" t="s">
        <v>651</v>
      </c>
      <c r="B122" s="101" t="str">
        <f t="shared" si="7"/>
        <v>Aircraft military</v>
      </c>
      <c r="C122" s="99" t="s">
        <v>2</v>
      </c>
      <c r="D122" s="99" t="s">
        <v>249</v>
      </c>
      <c r="E122" s="233" t="s">
        <v>761</v>
      </c>
    </row>
    <row r="123" spans="1:5" x14ac:dyDescent="0.2">
      <c r="A123" s="99" t="s">
        <v>652</v>
      </c>
      <c r="B123" s="101" t="str">
        <f t="shared" si="7"/>
        <v>Helicopter civil</v>
      </c>
      <c r="C123" s="99" t="s">
        <v>3</v>
      </c>
      <c r="D123" s="99" t="s">
        <v>250</v>
      </c>
      <c r="E123" s="233" t="s">
        <v>762</v>
      </c>
    </row>
    <row r="124" spans="1:5" x14ac:dyDescent="0.2">
      <c r="A124" s="99" t="s">
        <v>653</v>
      </c>
      <c r="B124" s="101" t="str">
        <f t="shared" si="7"/>
        <v>Helicopter military</v>
      </c>
      <c r="C124" s="99" t="s">
        <v>4</v>
      </c>
      <c r="D124" s="99" t="s">
        <v>251</v>
      </c>
      <c r="E124" s="233" t="s">
        <v>763</v>
      </c>
    </row>
    <row r="125" spans="1:5" x14ac:dyDescent="0.2">
      <c r="A125" s="99" t="s">
        <v>654</v>
      </c>
      <c r="B125" s="101" t="str">
        <f t="shared" si="7"/>
        <v>Aeronautics civil</v>
      </c>
      <c r="C125" s="99" t="s">
        <v>5</v>
      </c>
      <c r="D125" s="99" t="s">
        <v>252</v>
      </c>
      <c r="E125" s="233" t="s">
        <v>764</v>
      </c>
    </row>
    <row r="126" spans="1:5" x14ac:dyDescent="0.2">
      <c r="A126" s="99" t="s">
        <v>655</v>
      </c>
      <c r="B126" s="101" t="str">
        <f t="shared" si="7"/>
        <v>Aeronautics military</v>
      </c>
      <c r="C126" s="99" t="s">
        <v>6</v>
      </c>
      <c r="D126" s="99" t="s">
        <v>253</v>
      </c>
      <c r="E126" s="233" t="s">
        <v>765</v>
      </c>
    </row>
    <row r="127" spans="1:5" x14ac:dyDescent="0.2">
      <c r="A127" s="99" t="s">
        <v>656</v>
      </c>
      <c r="B127" s="101" t="str">
        <f t="shared" si="7"/>
        <v>Space</v>
      </c>
      <c r="C127" s="99" t="s">
        <v>7</v>
      </c>
      <c r="D127" s="99" t="s">
        <v>254</v>
      </c>
      <c r="E127" s="233" t="s">
        <v>766</v>
      </c>
    </row>
    <row r="128" spans="1:5" x14ac:dyDescent="0.2">
      <c r="A128" s="99" t="s">
        <v>657</v>
      </c>
      <c r="B128" s="101" t="str">
        <f t="shared" si="7"/>
        <v>Total revenue</v>
      </c>
      <c r="C128" s="99" t="s">
        <v>0</v>
      </c>
      <c r="D128" s="99" t="s">
        <v>255</v>
      </c>
      <c r="E128" s="233" t="s">
        <v>767</v>
      </c>
    </row>
    <row r="129" spans="1:6" x14ac:dyDescent="0.2">
      <c r="E129" s="233"/>
    </row>
    <row r="130" spans="1:6" x14ac:dyDescent="0.2">
      <c r="A130" s="105" t="s">
        <v>658</v>
      </c>
      <c r="B130" s="104" t="str">
        <f>IF(val.SelectedLanguage="Deutsch",C130,IF(val.SelectedLanguage="English",D130,E130))</f>
        <v>8.1 Manufacturing / distribution of parts / assembly for aircraft / work on aircrafts</v>
      </c>
      <c r="C130" s="104" t="s">
        <v>670</v>
      </c>
      <c r="D130" s="104" t="s">
        <v>671</v>
      </c>
      <c r="E130" s="234" t="s">
        <v>779</v>
      </c>
      <c r="F130" s="104"/>
    </row>
    <row r="131" spans="1:6" x14ac:dyDescent="0.2">
      <c r="E131" s="233"/>
    </row>
    <row r="132" spans="1:6" x14ac:dyDescent="0.2">
      <c r="A132" s="99" t="s">
        <v>659</v>
      </c>
      <c r="B132" s="101" t="str">
        <f>IF(val.SelectedLanguage="Deutsch",C132,IF(val.SelectedLanguage="English",D132,E132))</f>
        <v>Deliveries of products / parts for:</v>
      </c>
      <c r="C132" s="99" t="s">
        <v>12</v>
      </c>
      <c r="D132" s="99" t="s">
        <v>245</v>
      </c>
      <c r="E132" s="233" t="s">
        <v>768</v>
      </c>
    </row>
    <row r="133" spans="1:6" x14ac:dyDescent="0.2">
      <c r="A133" s="99" t="s">
        <v>660</v>
      </c>
      <c r="B133" s="101" t="str">
        <f>IF(val.SelectedLanguage="Deutsch",C133,IF(val.SelectedLanguage="English",D133,E133))</f>
        <v>* Please name the companies of Airbus group (incl. Tier1 to Airbus group) to which your company sells / delivers to:</v>
      </c>
      <c r="C133" s="99" t="s">
        <v>835</v>
      </c>
      <c r="D133" s="99" t="s">
        <v>838</v>
      </c>
      <c r="E133" s="233" t="s">
        <v>794</v>
      </c>
    </row>
    <row r="134" spans="1:6" x14ac:dyDescent="0.2">
      <c r="A134" s="99" t="s">
        <v>661</v>
      </c>
      <c r="B134" s="101" t="str">
        <f>IF(val.SelectedLanguage="Deutsch",C134,IF(val.SelectedLanguage="English",D134,E134))</f>
        <v>** Please name the other manufacturers you sell / deliver to:</v>
      </c>
      <c r="C134" s="99" t="s">
        <v>13</v>
      </c>
      <c r="D134" s="99" t="s">
        <v>796</v>
      </c>
      <c r="E134" s="233" t="s">
        <v>769</v>
      </c>
    </row>
    <row r="135" spans="1:6" x14ac:dyDescent="0.2">
      <c r="E135" s="233"/>
    </row>
    <row r="136" spans="1:6" x14ac:dyDescent="0.2">
      <c r="A136" s="105" t="s">
        <v>662</v>
      </c>
      <c r="B136" s="104" t="str">
        <f>IF(val.SelectedLanguage="Deutsch",C136,IF(val.SelectedLanguage="English",D136,E136))</f>
        <v>8.2. Engineering / construction services / Software</v>
      </c>
      <c r="C136" s="104" t="s">
        <v>672</v>
      </c>
      <c r="D136" s="104" t="s">
        <v>673</v>
      </c>
      <c r="E136" s="234" t="s">
        <v>780</v>
      </c>
      <c r="F136" s="104"/>
    </row>
    <row r="137" spans="1:6" x14ac:dyDescent="0.2">
      <c r="E137" s="233"/>
    </row>
    <row r="138" spans="1:6" x14ac:dyDescent="0.2">
      <c r="A138" s="99" t="s">
        <v>663</v>
      </c>
      <c r="B138" s="101" t="str">
        <f>IF(val.SelectedLanguage="Deutsch",C138,IF(val.SelectedLanguage="English",D138,E138))</f>
        <v>Provision of services / software</v>
      </c>
      <c r="C138" s="99" t="s">
        <v>256</v>
      </c>
      <c r="D138" s="99" t="s">
        <v>257</v>
      </c>
      <c r="E138" s="233" t="s">
        <v>770</v>
      </c>
    </row>
    <row r="139" spans="1:6" x14ac:dyDescent="0.2">
      <c r="A139" s="99" t="s">
        <v>664</v>
      </c>
      <c r="B139" s="101" t="str">
        <f>IF(val.SelectedLanguage="Deutsch",C139,IF(val.SelectedLanguage="English",D139,E139))</f>
        <v>* Please name the companies of Airbus group (incl. Tier1 to Airbus group) to which your company delivers service to:</v>
      </c>
      <c r="C139" s="99" t="s">
        <v>836</v>
      </c>
      <c r="D139" s="99" t="s">
        <v>839</v>
      </c>
      <c r="E139" s="233" t="s">
        <v>771</v>
      </c>
    </row>
    <row r="140" spans="1:6" x14ac:dyDescent="0.2">
      <c r="A140" s="99" t="s">
        <v>665</v>
      </c>
      <c r="B140" s="101" t="str">
        <f>IF(val.SelectedLanguage="Deutsch",C140,IF(val.SelectedLanguage="English",D140,E140))</f>
        <v>** Please name the other manufacturers to which your company deliver services to:</v>
      </c>
      <c r="C140" s="99" t="s">
        <v>344</v>
      </c>
      <c r="D140" s="99" t="s">
        <v>407</v>
      </c>
      <c r="E140" s="233" t="s">
        <v>772</v>
      </c>
    </row>
    <row r="141" spans="1:6" x14ac:dyDescent="0.2">
      <c r="E141" s="233"/>
    </row>
    <row r="142" spans="1:6" x14ac:dyDescent="0.2">
      <c r="A142" s="105" t="s">
        <v>666</v>
      </c>
      <c r="B142" s="104" t="str">
        <f>IF(val.SelectedLanguage="Deutsch",C142,IF(val.SelectedLanguage="English",D142,E142))</f>
        <v>8.3. Labour leasing</v>
      </c>
      <c r="C142" s="104" t="s">
        <v>674</v>
      </c>
      <c r="D142" s="104" t="s">
        <v>675</v>
      </c>
      <c r="E142" s="234" t="s">
        <v>781</v>
      </c>
      <c r="F142" s="104"/>
    </row>
    <row r="143" spans="1:6" x14ac:dyDescent="0.2">
      <c r="E143" s="233"/>
    </row>
    <row r="144" spans="1:6" x14ac:dyDescent="0.2">
      <c r="A144" s="99" t="s">
        <v>667</v>
      </c>
      <c r="B144" s="101" t="str">
        <f>IF(val.SelectedLanguage="Deutsch",C144,IF(val.SelectedLanguage="English",D144,E144))</f>
        <v>Labour leasing</v>
      </c>
      <c r="C144" s="99" t="s">
        <v>258</v>
      </c>
      <c r="D144" s="99" t="s">
        <v>259</v>
      </c>
      <c r="E144" s="233" t="s">
        <v>773</v>
      </c>
    </row>
    <row r="145" spans="1:6" x14ac:dyDescent="0.2">
      <c r="A145" s="99" t="s">
        <v>668</v>
      </c>
      <c r="B145" s="101" t="str">
        <f>IF(val.SelectedLanguage="Deutsch",C145,IF(val.SelectedLanguage="English",D145,E145))</f>
        <v>* Please name the companies of Airbus group (incl. Tier1 to Airbus group) to which your company delivers workforce to:</v>
      </c>
      <c r="C145" s="99" t="s">
        <v>837</v>
      </c>
      <c r="D145" s="99" t="s">
        <v>840</v>
      </c>
      <c r="E145" s="233" t="s">
        <v>774</v>
      </c>
    </row>
    <row r="146" spans="1:6" x14ac:dyDescent="0.2">
      <c r="A146" s="99" t="s">
        <v>669</v>
      </c>
      <c r="B146" s="101" t="str">
        <f>IF(val.SelectedLanguage="Deutsch",C146,IF(val.SelectedLanguage="English",D146,E146))</f>
        <v>** Please name the other manufacturers to which your company delivers workforce to:</v>
      </c>
      <c r="C146" s="99" t="s">
        <v>342</v>
      </c>
      <c r="D146" s="99" t="s">
        <v>343</v>
      </c>
      <c r="E146" s="233" t="s">
        <v>775</v>
      </c>
    </row>
    <row r="147" spans="1:6" x14ac:dyDescent="0.2">
      <c r="E147" s="233"/>
    </row>
    <row r="148" spans="1:6" x14ac:dyDescent="0.2">
      <c r="A148" s="105" t="s">
        <v>676</v>
      </c>
      <c r="B148" s="104" t="str">
        <f>IF(val.SelectedLanguage="Deutsch",C148,IF(val.SelectedLanguage="English",D148,E148))</f>
        <v>9. local policies: Aviation and Space product liability policies outside the EU</v>
      </c>
      <c r="C148" s="104" t="s">
        <v>677</v>
      </c>
      <c r="D148" s="104" t="s">
        <v>678</v>
      </c>
      <c r="E148" s="234" t="s">
        <v>800</v>
      </c>
      <c r="F148" s="104"/>
    </row>
    <row r="149" spans="1:6" x14ac:dyDescent="0.2">
      <c r="E149" s="233"/>
    </row>
    <row r="150" spans="1:6" x14ac:dyDescent="0.2">
      <c r="A150" s="99" t="s">
        <v>679</v>
      </c>
      <c r="B150" s="101" t="str">
        <f>IF(val.SelectedLanguage="Deutsch",C150,IF(val.SelectedLanguage="English",D150,E150))</f>
        <v>Do Local policies exist with a minimum insured limit of USD 5 M</v>
      </c>
      <c r="C150" s="99" t="s">
        <v>815</v>
      </c>
      <c r="D150" s="99" t="s">
        <v>797</v>
      </c>
      <c r="E150" s="233" t="s">
        <v>830</v>
      </c>
    </row>
    <row r="151" spans="1:6" x14ac:dyDescent="0.2">
      <c r="A151" s="99" t="s">
        <v>680</v>
      </c>
      <c r="B151" s="101" t="str">
        <f>IF(val.SelectedLanguage="Deutsch",C151,IF(val.SelectedLanguage="English",D151,E151))</f>
        <v>Please deliver current certificates of insurance!</v>
      </c>
      <c r="C151" s="99" t="s">
        <v>795</v>
      </c>
      <c r="D151" s="99" t="s">
        <v>500</v>
      </c>
      <c r="E151" s="233" t="s">
        <v>831</v>
      </c>
    </row>
    <row r="152" spans="1:6" x14ac:dyDescent="0.2">
      <c r="A152" s="99" t="s">
        <v>681</v>
      </c>
      <c r="B152" s="101" t="str">
        <f>IF(val.SelectedLanguage="Deutsch",C152,IF(val.SelectedLanguage="English",D152,E152))</f>
        <v>We are interested in a quotation for local policies via WTW.</v>
      </c>
      <c r="C152" s="99" t="s">
        <v>789</v>
      </c>
      <c r="D152" s="99" t="s">
        <v>788</v>
      </c>
      <c r="E152" s="233" t="s">
        <v>832</v>
      </c>
    </row>
    <row r="153" spans="1:6" x14ac:dyDescent="0.2">
      <c r="E153" s="233"/>
    </row>
    <row r="154" spans="1:6" x14ac:dyDescent="0.2">
      <c r="A154" s="105" t="s">
        <v>682</v>
      </c>
      <c r="B154" s="104" t="str">
        <f>IF(val.SelectedLanguage="Deutsch",C154,IF(val.SelectedLanguage="English",D154,E154))</f>
        <v>Details of companies for which local policies need to be placed.</v>
      </c>
      <c r="C154" s="104" t="s">
        <v>816</v>
      </c>
      <c r="D154" s="104" t="s">
        <v>844</v>
      </c>
      <c r="E154" s="234" t="s">
        <v>848</v>
      </c>
      <c r="F154" s="104"/>
    </row>
    <row r="155" spans="1:6" x14ac:dyDescent="0.2">
      <c r="E155" s="233"/>
    </row>
    <row r="156" spans="1:6" x14ac:dyDescent="0.2">
      <c r="A156" s="99" t="s">
        <v>683</v>
      </c>
      <c r="B156" s="101" t="str">
        <f>IF(val.SelectedLanguage="Deutsch",C156,IF(val.SelectedLanguage="English",D156,E156))</f>
        <v>External turnover in EUR</v>
      </c>
      <c r="C156" s="99" t="s">
        <v>685</v>
      </c>
      <c r="D156" s="99" t="s">
        <v>684</v>
      </c>
      <c r="E156" s="233" t="s">
        <v>793</v>
      </c>
    </row>
    <row r="157" spans="1:6" x14ac:dyDescent="0.2">
      <c r="E157" s="233"/>
    </row>
    <row r="158" spans="1:6" x14ac:dyDescent="0.2">
      <c r="A158" s="105" t="s">
        <v>787</v>
      </c>
      <c r="B158" s="104" t="str">
        <f>IF(val.SelectedLanguage="Deutsch",C158,IF(val.SelectedLanguage="English",D158,E158))</f>
        <v>10. Occurred claims in the last 5 years (for new contracts only)</v>
      </c>
      <c r="C158" s="104" t="s">
        <v>785</v>
      </c>
      <c r="D158" s="104" t="s">
        <v>798</v>
      </c>
      <c r="E158" s="234" t="s">
        <v>786</v>
      </c>
      <c r="F158" s="104"/>
    </row>
    <row r="159" spans="1:6" x14ac:dyDescent="0.2">
      <c r="E159" s="233"/>
    </row>
    <row r="160" spans="1:6" x14ac:dyDescent="0.2">
      <c r="A160" s="99" t="s">
        <v>266</v>
      </c>
      <c r="B160" s="101" t="str">
        <f>IF(val.SelectedLanguage="Deutsch",C160,IF(val.SelectedLanguage="English",D160,E160))</f>
        <v>Please confirm if claims occurred in the last 5 years.</v>
      </c>
      <c r="C160" s="99" t="s">
        <v>269</v>
      </c>
      <c r="D160" s="99" t="s">
        <v>799</v>
      </c>
      <c r="E160" s="233" t="s">
        <v>833</v>
      </c>
    </row>
    <row r="161" spans="1:5" x14ac:dyDescent="0.2">
      <c r="A161" s="99" t="s">
        <v>261</v>
      </c>
      <c r="B161" s="101" t="str">
        <f>IF(val.SelectedLanguage="Deutsch",C161,IF(val.SelectedLanguage="English",D161,E161))</f>
        <v>Claims description (in brief words)</v>
      </c>
      <c r="C161" s="99" t="s">
        <v>268</v>
      </c>
      <c r="D161" s="99" t="s">
        <v>408</v>
      </c>
      <c r="E161" s="233" t="s">
        <v>834</v>
      </c>
    </row>
    <row r="162" spans="1:5" x14ac:dyDescent="0.2">
      <c r="A162" s="99" t="s">
        <v>260</v>
      </c>
      <c r="B162" s="101" t="str">
        <f>IF(val.SelectedLanguage="Deutsch",C162,IF(val.SelectedLanguage="English",D162,E162))</f>
        <v>Date of loss</v>
      </c>
      <c r="C162" s="99" t="s">
        <v>711</v>
      </c>
      <c r="D162" s="99" t="s">
        <v>409</v>
      </c>
      <c r="E162" s="233" t="s">
        <v>782</v>
      </c>
    </row>
    <row r="163" spans="1:5" x14ac:dyDescent="0.2">
      <c r="A163" s="99" t="s">
        <v>262</v>
      </c>
      <c r="B163" s="101" t="str">
        <f>IF(val.SelectedLanguage="Deutsch",C163,IF(val.SelectedLanguage="English",D163,E163))</f>
        <v>Amount of claim</v>
      </c>
      <c r="C163" s="99" t="s">
        <v>712</v>
      </c>
      <c r="D163" s="99" t="s">
        <v>267</v>
      </c>
      <c r="E163" s="233" t="s">
        <v>783</v>
      </c>
    </row>
    <row r="164" spans="1:5" ht="12" thickBot="1" x14ac:dyDescent="0.25">
      <c r="A164" s="99" t="s">
        <v>263</v>
      </c>
      <c r="B164" s="101" t="str">
        <f>IF(val.SelectedLanguage="Deutsch",C164,IF(val.SelectedLanguage="English",D164,E164))</f>
        <v>thereof reserves</v>
      </c>
      <c r="C164" s="99" t="s">
        <v>25</v>
      </c>
      <c r="D164" s="99" t="s">
        <v>410</v>
      </c>
      <c r="E164" s="239" t="s">
        <v>784</v>
      </c>
    </row>
    <row r="165" spans="1:5" ht="12" thickTop="1" x14ac:dyDescent="0.2"/>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1"/>
  </sheetPr>
  <dimension ref="A1:P25"/>
  <sheetViews>
    <sheetView workbookViewId="0">
      <selection activeCell="C21" sqref="C21"/>
    </sheetView>
  </sheetViews>
  <sheetFormatPr defaultColWidth="11.42578125" defaultRowHeight="12.75" x14ac:dyDescent="0.2"/>
  <cols>
    <col min="1" max="1" width="9" bestFit="1" customWidth="1"/>
    <col min="4" max="4" width="34.42578125" bestFit="1" customWidth="1"/>
    <col min="5" max="5" width="9.140625" bestFit="1" customWidth="1"/>
    <col min="6" max="6" width="9" bestFit="1" customWidth="1"/>
    <col min="7" max="7" width="10.28515625" bestFit="1" customWidth="1"/>
    <col min="8" max="8" width="9" bestFit="1" customWidth="1"/>
    <col min="9" max="9" width="10.28515625" bestFit="1" customWidth="1"/>
    <col min="10" max="10" width="9" bestFit="1" customWidth="1"/>
    <col min="11" max="11" width="10.28515625" bestFit="1" customWidth="1"/>
    <col min="12" max="12" width="9" bestFit="1" customWidth="1"/>
    <col min="13" max="13" width="10.28515625" bestFit="1" customWidth="1"/>
    <col min="14" max="14" width="9" bestFit="1" customWidth="1"/>
    <col min="15" max="15" width="10.28515625" bestFit="1" customWidth="1"/>
    <col min="16" max="16" width="8" bestFit="1" customWidth="1"/>
  </cols>
  <sheetData>
    <row r="1" spans="1:16" x14ac:dyDescent="0.2">
      <c r="A1" s="38"/>
      <c r="B1" s="14">
        <v>15531967</v>
      </c>
    </row>
    <row r="3" spans="1:16" x14ac:dyDescent="0.2">
      <c r="A3" s="38"/>
      <c r="B3" s="14">
        <v>15531967</v>
      </c>
    </row>
    <row r="4" spans="1:16" x14ac:dyDescent="0.2">
      <c r="A4" s="35"/>
      <c r="B4" s="14">
        <v>13693183</v>
      </c>
    </row>
    <row r="5" spans="1:16" x14ac:dyDescent="0.2">
      <c r="A5" s="37"/>
      <c r="B5" s="14">
        <v>15845115</v>
      </c>
    </row>
    <row r="6" spans="1:16" x14ac:dyDescent="0.2">
      <c r="A6" s="45"/>
      <c r="B6" s="14">
        <v>10805759</v>
      </c>
    </row>
    <row r="7" spans="1:16" x14ac:dyDescent="0.2">
      <c r="A7" s="48"/>
      <c r="B7" s="14">
        <v>14286720</v>
      </c>
    </row>
    <row r="8" spans="1:16" x14ac:dyDescent="0.2">
      <c r="A8" s="34"/>
      <c r="B8" s="14">
        <v>15845354</v>
      </c>
    </row>
    <row r="9" spans="1:16" x14ac:dyDescent="0.2">
      <c r="A9" s="5"/>
      <c r="B9" s="5"/>
    </row>
    <row r="10" spans="1:16" ht="13.5" thickBot="1" x14ac:dyDescent="0.25">
      <c r="A10" t="s">
        <v>35</v>
      </c>
      <c r="D10" t="s">
        <v>36</v>
      </c>
      <c r="E10" s="9" t="s">
        <v>37</v>
      </c>
      <c r="F10" s="9"/>
      <c r="G10" s="9" t="s">
        <v>38</v>
      </c>
      <c r="H10" s="9"/>
      <c r="I10" s="9" t="s">
        <v>39</v>
      </c>
      <c r="J10" s="9"/>
      <c r="K10" s="9" t="s">
        <v>40</v>
      </c>
      <c r="L10" s="9"/>
      <c r="M10" s="9" t="s">
        <v>41</v>
      </c>
      <c r="N10" s="9"/>
      <c r="O10" s="9" t="s">
        <v>42</v>
      </c>
      <c r="P10" s="9"/>
    </row>
    <row r="11" spans="1:16" x14ac:dyDescent="0.2">
      <c r="A11" s="7">
        <v>16777215</v>
      </c>
      <c r="B11" s="80">
        <v>16777215</v>
      </c>
      <c r="C11" s="80"/>
      <c r="D11" s="11" t="s">
        <v>43</v>
      </c>
      <c r="E11" s="20"/>
      <c r="F11" s="12">
        <v>16777215</v>
      </c>
      <c r="G11" s="30"/>
      <c r="H11" s="12">
        <v>15921906</v>
      </c>
      <c r="I11" s="40"/>
      <c r="J11" s="12">
        <v>14277081</v>
      </c>
      <c r="K11" s="50"/>
      <c r="L11" s="12">
        <v>12566463</v>
      </c>
      <c r="M11" s="60"/>
      <c r="N11" s="12">
        <v>10921638</v>
      </c>
      <c r="O11" s="70"/>
      <c r="P11" s="12">
        <v>8421504</v>
      </c>
    </row>
    <row r="12" spans="1:16" x14ac:dyDescent="0.2">
      <c r="A12" s="8">
        <v>16764159</v>
      </c>
      <c r="B12" s="80">
        <v>16764159</v>
      </c>
      <c r="C12" s="80"/>
      <c r="D12" s="11" t="s">
        <v>44</v>
      </c>
      <c r="E12" s="21"/>
      <c r="F12" s="14">
        <v>0</v>
      </c>
      <c r="G12" s="31"/>
      <c r="H12" s="14">
        <v>8421504</v>
      </c>
      <c r="I12" s="41"/>
      <c r="J12" s="14">
        <v>5855577</v>
      </c>
      <c r="K12" s="51"/>
      <c r="L12" s="14">
        <v>4210752</v>
      </c>
      <c r="M12" s="61"/>
      <c r="N12" s="14">
        <v>2500134</v>
      </c>
      <c r="O12" s="71"/>
      <c r="P12" s="14">
        <v>855309</v>
      </c>
    </row>
    <row r="13" spans="1:16" x14ac:dyDescent="0.2">
      <c r="A13" s="10">
        <v>13421823</v>
      </c>
      <c r="B13" s="80">
        <v>13421823</v>
      </c>
      <c r="C13" s="80"/>
      <c r="D13" s="11" t="s">
        <v>45</v>
      </c>
      <c r="E13" s="22"/>
      <c r="F13" s="14">
        <v>14806254</v>
      </c>
      <c r="G13" s="32"/>
      <c r="H13" s="14">
        <v>12900829</v>
      </c>
      <c r="I13" s="42"/>
      <c r="J13" s="14">
        <v>9944516</v>
      </c>
      <c r="K13" s="52"/>
      <c r="L13" s="14">
        <v>5540500</v>
      </c>
      <c r="M13" s="62"/>
      <c r="N13" s="14">
        <v>2704713</v>
      </c>
      <c r="O13" s="72"/>
      <c r="P13" s="14">
        <v>1055517</v>
      </c>
    </row>
    <row r="14" spans="1:16" x14ac:dyDescent="0.2">
      <c r="A14" s="13">
        <v>10079487</v>
      </c>
      <c r="B14" s="80">
        <v>10079487</v>
      </c>
      <c r="C14" s="80"/>
      <c r="D14" s="11" t="s">
        <v>46</v>
      </c>
      <c r="E14" s="23"/>
      <c r="F14" s="14">
        <v>6973027</v>
      </c>
      <c r="G14" s="33"/>
      <c r="H14" s="14">
        <v>14803167</v>
      </c>
      <c r="I14" s="43"/>
      <c r="J14" s="14">
        <v>12894655</v>
      </c>
      <c r="K14" s="53"/>
      <c r="L14" s="14">
        <v>10920863</v>
      </c>
      <c r="M14" s="63"/>
      <c r="N14" s="14">
        <v>5197130</v>
      </c>
      <c r="O14" s="73"/>
      <c r="P14" s="14">
        <v>3486513</v>
      </c>
    </row>
    <row r="15" spans="1:16" x14ac:dyDescent="0.2">
      <c r="A15" s="15">
        <v>13434879</v>
      </c>
      <c r="B15" s="80">
        <v>13434879</v>
      </c>
      <c r="C15" s="80"/>
      <c r="D15" s="11" t="s">
        <v>47</v>
      </c>
      <c r="E15" s="24"/>
      <c r="F15" s="14">
        <v>8527984</v>
      </c>
      <c r="G15" s="34"/>
      <c r="H15" s="14">
        <v>15845354</v>
      </c>
      <c r="I15" s="44"/>
      <c r="J15" s="14">
        <v>14913237</v>
      </c>
      <c r="K15" s="54"/>
      <c r="L15" s="14">
        <v>14046911</v>
      </c>
      <c r="M15" s="64"/>
      <c r="N15" s="14">
        <v>6363220</v>
      </c>
      <c r="O15" s="74"/>
      <c r="P15" s="14">
        <v>4263992</v>
      </c>
    </row>
    <row r="16" spans="1:16" x14ac:dyDescent="0.2">
      <c r="A16" s="16">
        <v>13434828</v>
      </c>
      <c r="B16" s="80">
        <v>13434828</v>
      </c>
      <c r="C16" s="80"/>
      <c r="D16" s="11" t="s">
        <v>48</v>
      </c>
      <c r="E16" s="25"/>
      <c r="F16" s="14">
        <v>1882367</v>
      </c>
      <c r="G16" s="35"/>
      <c r="H16" s="14">
        <v>13693183</v>
      </c>
      <c r="I16" s="45"/>
      <c r="J16" s="14">
        <v>10805759</v>
      </c>
      <c r="K16" s="55"/>
      <c r="L16" s="14">
        <v>7721727</v>
      </c>
      <c r="M16" s="65"/>
      <c r="N16" s="14">
        <v>36562</v>
      </c>
      <c r="O16" s="75"/>
      <c r="P16" s="14">
        <v>24460</v>
      </c>
    </row>
    <row r="17" spans="1:16" x14ac:dyDescent="0.2">
      <c r="A17" s="17">
        <v>16777164</v>
      </c>
      <c r="B17" s="80">
        <v>16777164</v>
      </c>
      <c r="C17" s="80"/>
      <c r="D17" s="11" t="s">
        <v>49</v>
      </c>
      <c r="E17" s="26"/>
      <c r="F17" s="14">
        <v>13803520</v>
      </c>
      <c r="G17" s="36"/>
      <c r="H17" s="14">
        <v>16773313</v>
      </c>
      <c r="I17" s="46"/>
      <c r="J17" s="14">
        <v>16769414</v>
      </c>
      <c r="K17" s="56"/>
      <c r="L17" s="14">
        <v>16765514</v>
      </c>
      <c r="M17" s="66"/>
      <c r="N17" s="14">
        <v>10319360</v>
      </c>
      <c r="O17" s="76"/>
      <c r="P17" s="14">
        <v>6835968</v>
      </c>
    </row>
    <row r="18" spans="1:16" x14ac:dyDescent="0.2">
      <c r="A18" s="18">
        <v>16772300</v>
      </c>
      <c r="B18" s="80">
        <v>16772300</v>
      </c>
      <c r="C18" s="80"/>
      <c r="D18" s="11" t="s">
        <v>50</v>
      </c>
      <c r="E18" s="27"/>
      <c r="F18" s="14">
        <v>10490049</v>
      </c>
      <c r="G18" s="37"/>
      <c r="H18" s="14">
        <v>15845115</v>
      </c>
      <c r="I18" s="47"/>
      <c r="J18" s="14">
        <v>14913525</v>
      </c>
      <c r="K18" s="57"/>
      <c r="L18" s="14">
        <v>14046961</v>
      </c>
      <c r="M18" s="67"/>
      <c r="N18" s="14">
        <v>7867535</v>
      </c>
      <c r="O18" s="77"/>
      <c r="P18" s="14">
        <v>5310816</v>
      </c>
    </row>
    <row r="19" spans="1:16" x14ac:dyDescent="0.2">
      <c r="D19" s="11" t="s">
        <v>51</v>
      </c>
      <c r="E19" s="28"/>
      <c r="F19" s="14">
        <v>9028352</v>
      </c>
      <c r="G19" s="38"/>
      <c r="H19" s="14">
        <v>15531967</v>
      </c>
      <c r="I19" s="48"/>
      <c r="J19" s="14">
        <v>14286720</v>
      </c>
      <c r="K19" s="58"/>
      <c r="L19" s="14">
        <v>13107010</v>
      </c>
      <c r="M19" s="68"/>
      <c r="N19" s="14">
        <v>6787840</v>
      </c>
      <c r="O19" s="78"/>
      <c r="P19" s="14">
        <v>4481536</v>
      </c>
    </row>
    <row r="20" spans="1:16" ht="13.5" thickBot="1" x14ac:dyDescent="0.25">
      <c r="D20" s="11" t="s">
        <v>52</v>
      </c>
      <c r="E20" s="29"/>
      <c r="F20" s="19">
        <v>6973027</v>
      </c>
      <c r="G20" s="39"/>
      <c r="H20" s="19">
        <v>14803167</v>
      </c>
      <c r="I20" s="49"/>
      <c r="J20" s="19">
        <v>12894655</v>
      </c>
      <c r="K20" s="59"/>
      <c r="L20" s="19">
        <v>10920863</v>
      </c>
      <c r="M20" s="69"/>
      <c r="N20" s="19">
        <v>5197130</v>
      </c>
      <c r="O20" s="79"/>
      <c r="P20" s="19">
        <v>3486513</v>
      </c>
    </row>
    <row r="24" spans="1:16" ht="14.25" x14ac:dyDescent="0.2">
      <c r="E24" s="293"/>
      <c r="F24" s="293"/>
      <c r="G24" s="294"/>
      <c r="H24" s="294"/>
      <c r="I24" s="294"/>
      <c r="J24" s="294"/>
      <c r="K24" s="294"/>
      <c r="L24" s="294"/>
      <c r="M24" s="294"/>
    </row>
    <row r="25" spans="1:16" x14ac:dyDescent="0.2">
      <c r="F25" s="37"/>
      <c r="G25" s="34"/>
      <c r="I25" s="44"/>
    </row>
  </sheetData>
  <mergeCells count="1">
    <mergeCell ref="E24:M2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FarbeAusWertInAuswahl">
                <anchor moveWithCells="1" sizeWithCells="1">
                  <from>
                    <xdr:col>3</xdr:col>
                    <xdr:colOff>19050</xdr:colOff>
                    <xdr:row>1</xdr:row>
                    <xdr:rowOff>19050</xdr:rowOff>
                  </from>
                  <to>
                    <xdr:col>3</xdr:col>
                    <xdr:colOff>1466850</xdr:colOff>
                    <xdr:row>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313</vt:i4>
      </vt:variant>
    </vt:vector>
  </HeadingPairs>
  <TitlesOfParts>
    <vt:vector size="314" baseType="lpstr">
      <vt:lpstr>Fragebogen # Questionnaire</vt:lpstr>
      <vt:lpstr>areaSV.Countries</vt:lpstr>
      <vt:lpstr>areaSV.Greetings</vt:lpstr>
      <vt:lpstr>label.AddtlCompanies.TreadActHint</vt:lpstr>
      <vt:lpstr>label.AddtlCompanies.TreadActURL</vt:lpstr>
      <vt:lpstr>label.BusinessActivitiesHint</vt:lpstr>
      <vt:lpstr>label.BusinessActivitiesHintLine1</vt:lpstr>
      <vt:lpstr>label.BusinessActivitiesHintLine2</vt:lpstr>
      <vt:lpstr>label.BusinessActivitiesHintLine3</vt:lpstr>
      <vt:lpstr>label.City</vt:lpstr>
      <vt:lpstr>label.CompanyName</vt:lpstr>
      <vt:lpstr>label.Contact.Firstname</vt:lpstr>
      <vt:lpstr>label.Contact.Lastname</vt:lpstr>
      <vt:lpstr>label.ContactCompany</vt:lpstr>
      <vt:lpstr>label.ContactMail</vt:lpstr>
      <vt:lpstr>label.ContactPhone</vt:lpstr>
      <vt:lpstr>label.ContactType</vt:lpstr>
      <vt:lpstr>label.correspondence_note</vt:lpstr>
      <vt:lpstr>label.Country</vt:lpstr>
      <vt:lpstr>label.Headline</vt:lpstr>
      <vt:lpstr>label.HintRegNoFurtherInterest</vt:lpstr>
      <vt:lpstr>label.HintThankYou</vt:lpstr>
      <vt:lpstr>label.OutsideEUsee10</vt:lpstr>
      <vt:lpstr>label.Salutation</vt:lpstr>
      <vt:lpstr>label.section1.TypeOfQuote</vt:lpstr>
      <vt:lpstr>label.section10.Claims</vt:lpstr>
      <vt:lpstr>label.section10.ClaimsAmount</vt:lpstr>
      <vt:lpstr>label.section10.ClaimsDate</vt:lpstr>
      <vt:lpstr>label.section10.ClaimsExplanation</vt:lpstr>
      <vt:lpstr>label.section10.ClaimsReserves</vt:lpstr>
      <vt:lpstr>label.section10.NO_ClaimsConfirmation</vt:lpstr>
      <vt:lpstr>label.section2.InsuredCompany</vt:lpstr>
      <vt:lpstr>label.section2_1.InsuredCompanyContact</vt:lpstr>
      <vt:lpstr>label.section2_2.BillingAddress</vt:lpstr>
      <vt:lpstr>label.section3.BusinessActivities</vt:lpstr>
      <vt:lpstr>label.section4.AddtionalCompanies</vt:lpstr>
      <vt:lpstr>label.section4_1.Subsidiaries</vt:lpstr>
      <vt:lpstr>label.section4_2.Subcontractors</vt:lpstr>
      <vt:lpstr>label.section5.SanctionEmbargo</vt:lpstr>
      <vt:lpstr>label.section5.SanctionEmbargo.exports</vt:lpstr>
      <vt:lpstr>label.section5.SanctionEmbargo.exports_countries</vt:lpstr>
      <vt:lpstr>label.section5.SanctionEmbargo.exports_HINTcountries</vt:lpstr>
      <vt:lpstr>label.section5.SanctionEmbargo.insured_contractor</vt:lpstr>
      <vt:lpstr>label.section5.SanctionEmbargo.insured_site</vt:lpstr>
      <vt:lpstr>label.section5.SanctionEmbargo.insured_subsidiary</vt:lpstr>
      <vt:lpstr>label.section6.CoverageStart</vt:lpstr>
      <vt:lpstr>label.section6.CoverageStart.hint</vt:lpstr>
      <vt:lpstr>label.section6.CoverageStart.Value</vt:lpstr>
      <vt:lpstr>label.section7.LimitOfIndemity</vt:lpstr>
      <vt:lpstr>label.section7.LimitOfIndemity.Hint1</vt:lpstr>
      <vt:lpstr>label.section7.LimitOfIndemity.Hint2</vt:lpstr>
      <vt:lpstr>label.section8.NetSalesCover</vt:lpstr>
      <vt:lpstr>label.section8.NetSalesCover.Hint1</vt:lpstr>
      <vt:lpstr>label.section8.NetSalesCover.Hint2</vt:lpstr>
      <vt:lpstr>label.section8.Table.HeadlineAirbus</vt:lpstr>
      <vt:lpstr>label.section8.Table.HeadlineNonAirbus</vt:lpstr>
      <vt:lpstr>label.section8.TABLES.Col02.Headline</vt:lpstr>
      <vt:lpstr>label.section8.TABLES.Col03.Headline</vt:lpstr>
      <vt:lpstr>label.section8.TABLES.Col04.Headline</vt:lpstr>
      <vt:lpstr>label.section8.TABLES.Col05.Headline</vt:lpstr>
      <vt:lpstr>label.section8.TABLES.Col06.Headline</vt:lpstr>
      <vt:lpstr>label.section8.TABLES.Col07.Headline</vt:lpstr>
      <vt:lpstr>label.section8.TABLES.Col08.Headline</vt:lpstr>
      <vt:lpstr>label.section8.TABLES.Col09.Headline</vt:lpstr>
      <vt:lpstr>label.section8.TABLES.Col10.Headline</vt:lpstr>
      <vt:lpstr>label.section8.TABLES.Col11.Headline</vt:lpstr>
      <vt:lpstr>label.section8.TABLES.Line1.Head</vt:lpstr>
      <vt:lpstr>label.section8.TABLES.Line2.Head</vt:lpstr>
      <vt:lpstr>label.section8.TABLES.Line3.Head</vt:lpstr>
      <vt:lpstr>label.section8.TABLES.Line4.Head</vt:lpstr>
      <vt:lpstr>label.section8.TABLES.Line5.Head</vt:lpstr>
      <vt:lpstr>label.section8.TABLES.Line6.Head</vt:lpstr>
      <vt:lpstr>label.section8.TABLES.Line7.Head</vt:lpstr>
      <vt:lpstr>label.section8.TABLES.Line8.Head</vt:lpstr>
      <vt:lpstr>label.section8_1.ManufacturingDistribution</vt:lpstr>
      <vt:lpstr>label.section8_1.ManufacturingDistribution.AIRBUS</vt:lpstr>
      <vt:lpstr>label.section8_1.ManufacturingDistribution.Col1.Headline</vt:lpstr>
      <vt:lpstr>label.section8_1.ManufacturingDistribution.Supplier</vt:lpstr>
      <vt:lpstr>label.section8_2.EngineerconstructionServices</vt:lpstr>
      <vt:lpstr>label.section8_2.EngineerconstructionServices.AIRBUS</vt:lpstr>
      <vt:lpstr>label.section8_2.EngineerconstructionServices.Col1.Headline</vt:lpstr>
      <vt:lpstr>label.section8_2.EngineerconstructionServices.Supplier</vt:lpstr>
      <vt:lpstr>label.section8_3.LabourLeasing</vt:lpstr>
      <vt:lpstr>label.section8_3.LabourLeasing.AIRBUS</vt:lpstr>
      <vt:lpstr>label.section8_3.LabourLeasing.Col1.Headline</vt:lpstr>
      <vt:lpstr>label.section8_3.LabourLeasing.Supplier</vt:lpstr>
      <vt:lpstr>label.section9.LocalInsurances</vt:lpstr>
      <vt:lpstr>label.section9.LocalInsurances.ExistingConfirmations</vt:lpstr>
      <vt:lpstr>label.section9.LocalInsurances.ExistingGE5M</vt:lpstr>
      <vt:lpstr>label.section9.LocalInsurances.RequestMoreInfo</vt:lpstr>
      <vt:lpstr>label.section9_1.LocalInsurances_Companies</vt:lpstr>
      <vt:lpstr>label.section9_1.LocalInsurances_Companies_ExtTurnOver</vt:lpstr>
      <vt:lpstr>label.Street_No</vt:lpstr>
      <vt:lpstr>label.Subsidiaries.AdressInclCountry</vt:lpstr>
      <vt:lpstr>label.Subsidiaries.BusinessActivities</vt:lpstr>
      <vt:lpstr>label.Subsidiaries.Companyname</vt:lpstr>
      <vt:lpstr>label.Subtitle</vt:lpstr>
      <vt:lpstr>label.TypeOfProduction</vt:lpstr>
      <vt:lpstr>label.TypeOfQuote</vt:lpstr>
      <vt:lpstr>label.UmsatzGT50</vt:lpstr>
      <vt:lpstr>label.ZIP</vt:lpstr>
      <vt:lpstr>lu.DDL.ContactType</vt:lpstr>
      <vt:lpstr>lu.DDL.Countries</vt:lpstr>
      <vt:lpstr>lu.DDL.Greetings</vt:lpstr>
      <vt:lpstr>lu.DDL.Language</vt:lpstr>
      <vt:lpstr>lu.DDL.LimitOfIndemnity</vt:lpstr>
      <vt:lpstr>lu.DDL.TypeOfProduction</vt:lpstr>
      <vt:lpstr>lu.DDL.TypeOfQuote</vt:lpstr>
      <vt:lpstr>lu.DLL.YesNo</vt:lpstr>
      <vt:lpstr>'Fragebogen # Questionnaire'!Print_Area</vt:lpstr>
      <vt:lpstr>'Fragebogen # Questionnaire'!Print_Titles</vt:lpstr>
      <vt:lpstr>val.Sect1.SelectedTypeOfQuote</vt:lpstr>
      <vt:lpstr>val.Sect10.confirmedClaims.YESNO</vt:lpstr>
      <vt:lpstr>val.Sect2.insured.company.City</vt:lpstr>
      <vt:lpstr>val.Sect2.insured.company.country</vt:lpstr>
      <vt:lpstr>val.Sect2.insured.company.countryOUTPUT</vt:lpstr>
      <vt:lpstr>val.Sect2.insured.company.name</vt:lpstr>
      <vt:lpstr>val.Sect2.insured.company.street</vt:lpstr>
      <vt:lpstr>val.Sect2.insured.company.ZIP</vt:lpstr>
      <vt:lpstr>val.Sect2_1.insured.company.ALTname</vt:lpstr>
      <vt:lpstr>val.Sect2_1.insured.company.contactgreeting</vt:lpstr>
      <vt:lpstr>val.Sect2_1.insured.company.contactmail</vt:lpstr>
      <vt:lpstr>val.Sect2_1.insured.company.contactname</vt:lpstr>
      <vt:lpstr>val.Sect2_1.insured.company.contactprename</vt:lpstr>
      <vt:lpstr>val.Sect2_1.insured.company.contacttelephone</vt:lpstr>
      <vt:lpstr>val.Sect2_1.insured.company.contacttype</vt:lpstr>
      <vt:lpstr>val.Sect2_2.billed.company.City</vt:lpstr>
      <vt:lpstr>val.Sect2_2.billed.company.contactmail</vt:lpstr>
      <vt:lpstr>val.Sect2_2.billed.company.country</vt:lpstr>
      <vt:lpstr>val.Sect2_2.billed.company.countryOUTPUT</vt:lpstr>
      <vt:lpstr>val.Sect2_2.billed.company.name</vt:lpstr>
      <vt:lpstr>val.Sect2_2.billed.company.street</vt:lpstr>
      <vt:lpstr>val.Sect2_2.billed.company.ZIP</vt:lpstr>
      <vt:lpstr>val.Sect3.insured.company.businessactivity.1</vt:lpstr>
      <vt:lpstr>val.Sect3.insured.company.businessactivity.2</vt:lpstr>
      <vt:lpstr>val.Sect3.insured.company.businessactivity.3</vt:lpstr>
      <vt:lpstr>val.Sect3.insured.company.businessactivity.4</vt:lpstr>
      <vt:lpstr>val.Sect3.insured.company.businessactivity.5</vt:lpstr>
      <vt:lpstr>val.Sect3.insured.company.businessactivity.6</vt:lpstr>
      <vt:lpstr>val.Sect4_1.subsidiaries.YESNO</vt:lpstr>
      <vt:lpstr>val.Sect4_1.subsidiary1.address</vt:lpstr>
      <vt:lpstr>val.Sect4_1.subsidiary1.businessactivity</vt:lpstr>
      <vt:lpstr>val.Sect4_1.subsidiary1.companyname</vt:lpstr>
      <vt:lpstr>val.Sect4_1.subsidiary10.address</vt:lpstr>
      <vt:lpstr>val.Sect4_1.subsidiary10.businessactivity</vt:lpstr>
      <vt:lpstr>val.Sect4_1.subsidiary10.companyname</vt:lpstr>
      <vt:lpstr>val.Sect4_1.subsidiary2.address</vt:lpstr>
      <vt:lpstr>val.Sect4_1.subsidiary2.businessactivity</vt:lpstr>
      <vt:lpstr>val.Sect4_1.subsidiary2.companyname</vt:lpstr>
      <vt:lpstr>val.Sect4_1.subsidiary3.address</vt:lpstr>
      <vt:lpstr>val.Sect4_1.subsidiary3.businessactivity</vt:lpstr>
      <vt:lpstr>val.Sect4_1.subsidiary3.companyname</vt:lpstr>
      <vt:lpstr>val.Sect4_1.subsidiary4.address</vt:lpstr>
      <vt:lpstr>val.Sect4_1.subsidiary4.businessactivity</vt:lpstr>
      <vt:lpstr>val.Sect4_1.subsidiary4.companyname</vt:lpstr>
      <vt:lpstr>val.Sect4_1.subsidiary5.address</vt:lpstr>
      <vt:lpstr>val.Sect4_1.subsidiary5.businessactivity</vt:lpstr>
      <vt:lpstr>val.Sect4_1.subsidiary5.companyname</vt:lpstr>
      <vt:lpstr>val.Sect4_1.subsidiary6.address</vt:lpstr>
      <vt:lpstr>val.Sect4_1.subsidiary6.businessactivity</vt:lpstr>
      <vt:lpstr>val.Sect4_1.subsidiary6.companyname</vt:lpstr>
      <vt:lpstr>val.Sect4_1.subsidiary7.address</vt:lpstr>
      <vt:lpstr>val.Sect4_1.subsidiary7.businessactivity</vt:lpstr>
      <vt:lpstr>val.Sect4_1.subsidiary7.companyname</vt:lpstr>
      <vt:lpstr>val.Sect4_1.subsidiary8.address</vt:lpstr>
      <vt:lpstr>val.Sect4_1.subsidiary8.businessactivity</vt:lpstr>
      <vt:lpstr>val.Sect4_1.subsidiary8.companyname</vt:lpstr>
      <vt:lpstr>val.Sect4_1.subsidiary9.address</vt:lpstr>
      <vt:lpstr>val.Sect4_1.subsidiary9.businessactivity</vt:lpstr>
      <vt:lpstr>val.Sect4_1.subsidiary9.companyname</vt:lpstr>
      <vt:lpstr>val.Sect4_2.external.YESNO</vt:lpstr>
      <vt:lpstr>val.Sect4_2.external1.address</vt:lpstr>
      <vt:lpstr>val.Sect4_2.external1.companyname</vt:lpstr>
      <vt:lpstr>val.Sect4_2.external1.ContractOwn</vt:lpstr>
      <vt:lpstr>val.Sect4_2.external1.Revenue50plus</vt:lpstr>
      <vt:lpstr>val.Sect4_2.external2.address</vt:lpstr>
      <vt:lpstr>val.Sect4_2.external2.companyname</vt:lpstr>
      <vt:lpstr>val.Sect4_2.external2.ContractOwn</vt:lpstr>
      <vt:lpstr>val.Sect4_2.external2.Revenue50plus</vt:lpstr>
      <vt:lpstr>val.Sect4_2.external3.address</vt:lpstr>
      <vt:lpstr>val.Sect4_2.external3.companyname</vt:lpstr>
      <vt:lpstr>val.Sect4_2.external3.ContractOwn</vt:lpstr>
      <vt:lpstr>val.Sect4_2.external3.Revenue50plus</vt:lpstr>
      <vt:lpstr>val.Sect4_2.external4.address</vt:lpstr>
      <vt:lpstr>val.Sect4_2.external4.companyname</vt:lpstr>
      <vt:lpstr>val.Sect4_2.external4.ContractOwn</vt:lpstr>
      <vt:lpstr>val.Sect4_2.external4.Revenue50plus</vt:lpstr>
      <vt:lpstr>val.Sect4_2.external5.address</vt:lpstr>
      <vt:lpstr>val.Sect4_2.external5.companyname</vt:lpstr>
      <vt:lpstr>val.Sect4_2.external5.ContractOwn</vt:lpstr>
      <vt:lpstr>val.Sect4_2.external5.Revenue50plus</vt:lpstr>
      <vt:lpstr>val.Sect4_2.external6.address</vt:lpstr>
      <vt:lpstr>val.Sect4_2.external6.companyname</vt:lpstr>
      <vt:lpstr>val.Sect4_2.external6.ContractOwn</vt:lpstr>
      <vt:lpstr>val.Sect4_2.external6.Revenue50plus</vt:lpstr>
      <vt:lpstr>val.Sect5.CtyListOfExportsToSanctionedCty</vt:lpstr>
      <vt:lpstr>val.Sect5.ExportsToSanctionedCty.YESNO</vt:lpstr>
      <vt:lpstr>val.Sect5.RelatedToSanctionedCty.YESNO</vt:lpstr>
      <vt:lpstr>val.Sect5.RiskInSanctionedCty.YESNO</vt:lpstr>
      <vt:lpstr>val.Sect5.SeatInSanctionedCty.YESNO</vt:lpstr>
      <vt:lpstr>val.Sect6.StartOfInsurance</vt:lpstr>
      <vt:lpstr>val.Sect7.LimitOfIndemnity</vt:lpstr>
      <vt:lpstr>val.Sect8_1.Aeronautics_civil.Prod.AIRBUS.ROW</vt:lpstr>
      <vt:lpstr>val.Sect8_1.Aeronautics_civil.Prod.AIRBUS.USCA</vt:lpstr>
      <vt:lpstr>val.Sect8_1.Aeronautics_civil.Prod.nonAIRBUS.ROW</vt:lpstr>
      <vt:lpstr>val.Sect8_1.Aeronautics_civil.Prod.nonAIRBUS.USCA</vt:lpstr>
      <vt:lpstr>val.Sect8_1.Aeronautics_military.Prod.AIRBUS.ROW</vt:lpstr>
      <vt:lpstr>val.Sect8_1.Aeronautics_military.Prod.AIRBUS.USCA</vt:lpstr>
      <vt:lpstr>val.Sect8_1.Aeronautics_military.Prod.nonAIRBUS.ROW</vt:lpstr>
      <vt:lpstr>val.Sect8_1.Aeronautics_military.Prod.nonAIRBUS.USCA</vt:lpstr>
      <vt:lpstr>val.Sect8_1.Aircraft_civil.Prod.AIRBUS.ROW</vt:lpstr>
      <vt:lpstr>val.Sect8_1.Aircraft_civil.Prod.AIRBUS.USCA</vt:lpstr>
      <vt:lpstr>val.Sect8_1.Aircraft_civil.Prod.nonAIRBUS.ROW</vt:lpstr>
      <vt:lpstr>val.Sect8_1.Aircraft_civil.Prod.nonAIRBUS.USCA</vt:lpstr>
      <vt:lpstr>val.Sect8_1.Aircraft_military.Prod.AIRBUS.ROW</vt:lpstr>
      <vt:lpstr>val.Sect8_1.Aircraft_military.Prod.AIRBUS.USCA</vt:lpstr>
      <vt:lpstr>val.Sect8_1.Aircraft_military.Prod.nonAIRBUS.ROW</vt:lpstr>
      <vt:lpstr>val.Sect8_1.Aircraft_military.Prod.nonAIRBUS.USCA</vt:lpstr>
      <vt:lpstr>val.Sect8_1.Helicopter_civil.Prod.AIRBUS.ROW</vt:lpstr>
      <vt:lpstr>val.Sect8_1.Helicopter_civil.Prod.AIRBUS.USCA</vt:lpstr>
      <vt:lpstr>val.Sect8_1.Helicopter_civil.Prod.nonAIRBUS.ROW</vt:lpstr>
      <vt:lpstr>val.Sect8_1.Helicopter_civil.Prod.nonAIRBUS.USCA</vt:lpstr>
      <vt:lpstr>val.Sect8_1.Helicopter_military.Prod.AIRBUS.ROW</vt:lpstr>
      <vt:lpstr>val.Sect8_1.Helicopter_military.Prod.AIRBUS.USCA</vt:lpstr>
      <vt:lpstr>val.Sect8_1.Helicopter_military.Prod.nonAIRBUS.ROW</vt:lpstr>
      <vt:lpstr>val.Sect8_1.Helicopter_military.Prod.nonAIRBUS.USCA</vt:lpstr>
      <vt:lpstr>val.Sect8_1.Space.Prod.AIRBUS.ROW</vt:lpstr>
      <vt:lpstr>val.Sect8_1.Space.Prod.AIRBUS.USCA</vt:lpstr>
      <vt:lpstr>val.Sect8_1.Space.Prod.nonAIRBUS.ROW</vt:lpstr>
      <vt:lpstr>val.Sect8_1.Space.Prod.nonAIRBUS.USCA</vt:lpstr>
      <vt:lpstr>val.Sect8_2.Aeronautics_civil.Svcs.AIRBUS.ROW</vt:lpstr>
      <vt:lpstr>val.Sect8_2.Aeronautics_civil.Svcs.AIRBUS.USCA</vt:lpstr>
      <vt:lpstr>val.Sect8_2.Aeronautics_civil.Svcs.nonAIRBUS.ROW</vt:lpstr>
      <vt:lpstr>val.Sect8_2.Aeronautics_civil.Svcs.nonAIRBUS.USCA</vt:lpstr>
      <vt:lpstr>val.Sect8_2.Aeronautics_military.Svcs.AIRBUS.ROW</vt:lpstr>
      <vt:lpstr>val.Sect8_2.Aeronautics_military.Svcs.AIRBUS.USCA</vt:lpstr>
      <vt:lpstr>val.Sect8_2.Aeronautics_military.Svcs.nonAIRBUS.ROW</vt:lpstr>
      <vt:lpstr>val.Sect8_2.Aeronautics_military.Svcs.nonAIRBUS.USCA</vt:lpstr>
      <vt:lpstr>val.Sect8_2.Aircraft_civil.Svcs.AIRBUS.ROW</vt:lpstr>
      <vt:lpstr>val.Sect8_2.Aircraft_civil.Svcs.AIRBUS.USCA</vt:lpstr>
      <vt:lpstr>val.Sect8_2.Aircraft_civil.Svcs.nonAIRBUS.ROW</vt:lpstr>
      <vt:lpstr>val.Sect8_2.Aircraft_civil.Svcs.nonAIRBUS.USCA</vt:lpstr>
      <vt:lpstr>val.Sect8_2.Aircraft_military.Svcs.AIRBUS.ROW</vt:lpstr>
      <vt:lpstr>val.Sect8_2.Aircraft_military.Svcs.AIRBUS.USCA</vt:lpstr>
      <vt:lpstr>val.Sect8_2.Aircraft_military.Svcs.nonAIRBUS.ROW</vt:lpstr>
      <vt:lpstr>val.Sect8_2.Aircraft_military.Svcs.nonAIRBUS.USCA</vt:lpstr>
      <vt:lpstr>val.Sect8_2.Helicopter_civil.Svcs.AIRBUS.ROW</vt:lpstr>
      <vt:lpstr>val.Sect8_2.Helicopter_civil.Svcs.AIRBUS.USCA</vt:lpstr>
      <vt:lpstr>val.Sect8_2.Helicopter_civil.Svcs.nonAIRBUS.ROW</vt:lpstr>
      <vt:lpstr>val.Sect8_2.Helicopter_civil.Svcs.nonAIRBUS.USCA</vt:lpstr>
      <vt:lpstr>val.Sect8_2.Helicopter_military.Svcs.AIRBUS.ROW</vt:lpstr>
      <vt:lpstr>val.Sect8_2.Helicopter_military.Svcs.AIRBUS.USCA</vt:lpstr>
      <vt:lpstr>val.Sect8_2.Helicopter_military.Svcs.nonAIRBUS.ROW</vt:lpstr>
      <vt:lpstr>val.Sect8_2.Helicopter_military.Svcs.nonAIRBUS.USCA</vt:lpstr>
      <vt:lpstr>val.Sect8_2.Space.Svcs.AIRBUS.ROW</vt:lpstr>
      <vt:lpstr>val.Sect8_2.Space.Svcs.AIRBUS.USCA</vt:lpstr>
      <vt:lpstr>val.Sect8_2.Space.Svcs.nonAIRBUS.ROW</vt:lpstr>
      <vt:lpstr>val.Sect8_2.Space.Svcs.nonAIRBUS.USCA</vt:lpstr>
      <vt:lpstr>val.Sect8_3.Aeronautics_civil.Labr.AIRBUS.ROW</vt:lpstr>
      <vt:lpstr>val.Sect8_3.Aeronautics_civil.Labr.AIRBUS.USCA</vt:lpstr>
      <vt:lpstr>val.Sect8_3.Aeronautics_civil.Labr.nonAIRBUS.ROW</vt:lpstr>
      <vt:lpstr>val.Sect8_3.Aeronautics_civil.Labr.nonAIRBUS.USCA</vt:lpstr>
      <vt:lpstr>val.Sect8_3.Aeronautics_military.Labr.AIRBUS.ROW</vt:lpstr>
      <vt:lpstr>val.Sect8_3.Aeronautics_military.Labr.AIRBUS.USCA</vt:lpstr>
      <vt:lpstr>val.Sect8_3.Aeronautics_military.Labr.nonAIRBUS.ROW</vt:lpstr>
      <vt:lpstr>val.Sect8_3.Aeronautics_military.Labr.nonAIRBUS.USCA</vt:lpstr>
      <vt:lpstr>val.Sect8_3.Aircraft_civil.Labr.AIRBUS.ROW</vt:lpstr>
      <vt:lpstr>val.Sect8_3.Aircraft_civil.Labr.AIRBUS.USCA</vt:lpstr>
      <vt:lpstr>val.Sect8_3.Aircraft_civil.Labr.nonAIRBUS.ROW</vt:lpstr>
      <vt:lpstr>val.Sect8_3.Aircraft_civil.Labr.nonAIRBUS.USCA</vt:lpstr>
      <vt:lpstr>val.Sect8_3.Aircraft_military.Labr.AIRBUS.ROW</vt:lpstr>
      <vt:lpstr>val.Sect8_3.Aircraft_military.Labr.AIRBUS.USCA</vt:lpstr>
      <vt:lpstr>val.Sect8_3.Aircraft_military.Labr.nonAIRBUS.ROW</vt:lpstr>
      <vt:lpstr>val.Sect8_3.Aircraft_military.Labr.nonAIRBUS.USCA</vt:lpstr>
      <vt:lpstr>val.Sect8_3.Helicopter_civil.Labr.AIRBUS.ROW</vt:lpstr>
      <vt:lpstr>val.Sect8_3.Helicopter_civil.Labr.AIRBUS.USCA</vt:lpstr>
      <vt:lpstr>val.Sect8_3.Helicopter_civil.Labr.nonAIRBUS.ROW</vt:lpstr>
      <vt:lpstr>val.Sect8_3.Helicopter_civil.Labr.nonAIRBUS.USCA</vt:lpstr>
      <vt:lpstr>val.Sect8_3.Helicopter_military.Labr.AIRBUS.ROW</vt:lpstr>
      <vt:lpstr>val.Sect8_3.Helicopter_military.Labr.AIRBUS.USCA</vt:lpstr>
      <vt:lpstr>val.Sect8_3.Helicopter_military.Labr.nonAIRBUS.ROW</vt:lpstr>
      <vt:lpstr>val.Sect8_3.Helicopter_military.Labr.nonAIRBUS.USCA</vt:lpstr>
      <vt:lpstr>val.Sect8_3.Space.Labr.AIRBUS.ROW</vt:lpstr>
      <vt:lpstr>val.Sect8_3.Space.Labr.AIRBUS.USCA</vt:lpstr>
      <vt:lpstr>val.Sect8_3.Space.Labr.nonAIRBUS.ROW</vt:lpstr>
      <vt:lpstr>val.Sect8_3.Space.Labr.nonAIRBUS.USCA</vt:lpstr>
      <vt:lpstr>val.Sect9.ExistingLocalPolGT_USD5M.YESNO</vt:lpstr>
      <vt:lpstr>val.Sect9_1.localpolicy1.companyaddress</vt:lpstr>
      <vt:lpstr>val.Sect9_1.localpolicy1.companyemail</vt:lpstr>
      <vt:lpstr>val.Sect9_1.localpolicy1.companyextturnover</vt:lpstr>
      <vt:lpstr>val.Sect9_1.localpolicy1.companyname</vt:lpstr>
      <vt:lpstr>val.Sect9_1.localpolicy2.companyaddress</vt:lpstr>
      <vt:lpstr>val.Sect9_1.localpolicy2.companyemail</vt:lpstr>
      <vt:lpstr>val.Sect9_1.localpolicy2.companyextturnover</vt:lpstr>
      <vt:lpstr>val.Sect9_1.localpolicy2.companyname</vt:lpstr>
      <vt:lpstr>val.Sect9_1.localpolicy3.companyaddress</vt:lpstr>
      <vt:lpstr>val.Sect9_1.localpolicy3.companyemail</vt:lpstr>
      <vt:lpstr>val.Sect9_1.localpolicy3.companyextturnover</vt:lpstr>
      <vt:lpstr>val.Sect9_1.localpolicy3.companyname</vt:lpstr>
      <vt:lpstr>val.Sect9_1.localpolicy4.companyaddress</vt:lpstr>
      <vt:lpstr>val.Sect9_1.localpolicy4.companyemail</vt:lpstr>
      <vt:lpstr>val.Sect9_1.localpolicy4.companyextturnover</vt:lpstr>
      <vt:lpstr>val.Sect9_1.localpolicy4.companyname</vt:lpstr>
      <vt:lpstr>val.Sect9_1.localpolicy5.companyaddress</vt:lpstr>
      <vt:lpstr>val.Sect9_1.localpolicy5.companyemail</vt:lpstr>
      <vt:lpstr>val.Sect9_1.localpolicy5.companyextturnover</vt:lpstr>
      <vt:lpstr>val.Sect9_1.localpolicy5.companyname</vt:lpstr>
      <vt:lpstr>val.Sect9_1.localpolicy6.companyaddress</vt:lpstr>
      <vt:lpstr>val.Sect9_1.localpolicy6.companyemail</vt:lpstr>
      <vt:lpstr>val.Sect9_1.localpolicy6.companyextturnover</vt:lpstr>
      <vt:lpstr>val.Sect9_1.localpolicy6.companyname</vt:lpstr>
      <vt:lpstr>val.SelectedLanguage</vt:lpstr>
      <vt:lpstr>values.QUESTIONNAIRE</vt:lpstr>
      <vt:lpstr>Zeitraum__Planumsätze_Luftfahrtindustrie_für_die_kommende_Versicherungsperiode_15.10._bis_15.10._eines_jeden_Jahres</vt:lpstr>
    </vt:vector>
  </TitlesOfParts>
  <Company>EADS Headquarters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Grillenberger</dc:creator>
  <cp:lastModifiedBy>Madayag, Nick Van (Philadelphia)</cp:lastModifiedBy>
  <cp:lastPrinted>2019-07-12T08:00:17Z</cp:lastPrinted>
  <dcterms:created xsi:type="dcterms:W3CDTF">2005-06-16T08:27:56Z</dcterms:created>
  <dcterms:modified xsi:type="dcterms:W3CDTF">2019-09-04T02:39:01Z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joerg.moellenhoff@willistowerswatson.com</vt:lpwstr>
  </property>
  <property fmtid="{D5CDD505-2E9C-101B-9397-08002B2CF9AE}" pid="5" name="MSIP_Label_9c700311-1b20-487f-9129-30717d50ca8e_SetDate">
    <vt:lpwstr>2019-02-12T14:03:20.9080091Z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Extended_MSFT_Method">
    <vt:lpwstr>Automatic</vt:lpwstr>
  </property>
  <property fmtid="{D5CDD505-2E9C-101B-9397-08002B2CF9AE}" pid="9" name="MSIP_Label_d347b247-e90e-43a3-9d7b-004f14ae6873_Enabled">
    <vt:lpwstr>True</vt:lpwstr>
  </property>
  <property fmtid="{D5CDD505-2E9C-101B-9397-08002B2CF9AE}" pid="10" name="MSIP_Label_d347b247-e90e-43a3-9d7b-004f14ae6873_SiteId">
    <vt:lpwstr>76e3921f-489b-4b7e-9547-9ea297add9b5</vt:lpwstr>
  </property>
  <property fmtid="{D5CDD505-2E9C-101B-9397-08002B2CF9AE}" pid="11" name="MSIP_Label_d347b247-e90e-43a3-9d7b-004f14ae6873_Owner">
    <vt:lpwstr>joerg.moellenhoff@willistowerswatson.com</vt:lpwstr>
  </property>
  <property fmtid="{D5CDD505-2E9C-101B-9397-08002B2CF9AE}" pid="12" name="MSIP_Label_d347b247-e90e-43a3-9d7b-004f14ae6873_SetDate">
    <vt:lpwstr>2019-02-12T14:03:20.9085052Z</vt:lpwstr>
  </property>
  <property fmtid="{D5CDD505-2E9C-101B-9397-08002B2CF9AE}" pid="13" name="MSIP_Label_d347b247-e90e-43a3-9d7b-004f14ae6873_Name">
    <vt:lpwstr>Anyone (No Protection)</vt:lpwstr>
  </property>
  <property fmtid="{D5CDD505-2E9C-101B-9397-08002B2CF9AE}" pid="14" name="MSIP_Label_d347b247-e90e-43a3-9d7b-004f14ae6873_Application">
    <vt:lpwstr>Microsoft Azure Information Protection</vt:lpwstr>
  </property>
  <property fmtid="{D5CDD505-2E9C-101B-9397-08002B2CF9AE}" pid="15" name="MSIP_Label_d347b247-e90e-43a3-9d7b-004f14ae6873_Parent">
    <vt:lpwstr>9c700311-1b20-487f-9129-30717d50ca8e</vt:lpwstr>
  </property>
  <property fmtid="{D5CDD505-2E9C-101B-9397-08002B2CF9AE}" pid="16" name="MSIP_Label_d347b247-e90e-43a3-9d7b-004f14ae6873_Extended_MSFT_Method">
    <vt:lpwstr>Automatic</vt:lpwstr>
  </property>
  <property fmtid="{D5CDD505-2E9C-101B-9397-08002B2CF9AE}" pid="17" name="Sensitivity">
    <vt:lpwstr>Confidential Anyone (No Protection)</vt:lpwstr>
  </property>
</Properties>
</file>